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825" windowWidth="19635" windowHeight="724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P356" i="1" l="1"/>
  <c r="O356" i="1"/>
  <c r="P187" i="1"/>
  <c r="O187" i="1"/>
  <c r="P175" i="1"/>
  <c r="O175" i="1"/>
  <c r="P142" i="1"/>
  <c r="O142" i="1"/>
  <c r="P101" i="1"/>
  <c r="O101" i="1"/>
  <c r="P45" i="1"/>
  <c r="O45" i="1"/>
  <c r="P43" i="1"/>
  <c r="O43" i="1"/>
  <c r="P42" i="1"/>
  <c r="O42" i="1"/>
  <c r="P40" i="1"/>
  <c r="O40" i="1"/>
  <c r="P33" i="1"/>
  <c r="O33" i="1"/>
  <c r="P17" i="1"/>
  <c r="O17" i="1"/>
  <c r="P14" i="1"/>
  <c r="O14" i="1"/>
  <c r="O462" i="1" l="1"/>
  <c r="O461" i="1"/>
  <c r="O388" i="1"/>
  <c r="O354" i="1"/>
  <c r="O335" i="1"/>
  <c r="O303" i="1"/>
  <c r="O301" i="1"/>
  <c r="O273" i="1"/>
  <c r="O267" i="1"/>
  <c r="O265" i="1"/>
  <c r="O240" i="1"/>
  <c r="O239" i="1"/>
  <c r="O232" i="1"/>
  <c r="O211" i="1"/>
  <c r="O199" i="1"/>
  <c r="O191" i="1"/>
  <c r="O172" i="1"/>
  <c r="O170" i="1"/>
  <c r="O158" i="1"/>
  <c r="O156" i="1"/>
  <c r="O155" i="1"/>
  <c r="O154" i="1"/>
  <c r="O151" i="1"/>
  <c r="O149" i="1"/>
  <c r="O132" i="1"/>
  <c r="O119" i="1"/>
  <c r="O117" i="1"/>
  <c r="O106" i="1"/>
  <c r="O99" i="1"/>
  <c r="O98" i="1"/>
  <c r="O97" i="1"/>
  <c r="O96" i="1"/>
  <c r="O87" i="1"/>
  <c r="O83" i="1"/>
  <c r="O68" i="1"/>
  <c r="O56" i="1"/>
  <c r="O44" i="1"/>
  <c r="O21" i="1"/>
  <c r="O20" i="1"/>
  <c r="O16" i="1"/>
  <c r="O4" i="1"/>
  <c r="O460" i="1"/>
  <c r="O459" i="1"/>
  <c r="O458" i="1"/>
  <c r="O457" i="1"/>
  <c r="O456" i="1"/>
  <c r="O446" i="1"/>
  <c r="O444" i="1"/>
  <c r="O443" i="1"/>
  <c r="O442" i="1"/>
  <c r="O439" i="1"/>
  <c r="O438" i="1"/>
  <c r="O437" i="1"/>
  <c r="O428" i="1"/>
  <c r="O427" i="1"/>
  <c r="O426" i="1"/>
  <c r="O424" i="1"/>
  <c r="O422" i="1"/>
  <c r="O421" i="1"/>
  <c r="O420" i="1"/>
  <c r="O419" i="1"/>
  <c r="O418" i="1"/>
  <c r="O417" i="1"/>
  <c r="O416" i="1"/>
  <c r="O413" i="1"/>
  <c r="O412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7" i="1"/>
  <c r="O386" i="1"/>
  <c r="O385" i="1"/>
  <c r="O384" i="1"/>
  <c r="O383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5" i="1"/>
  <c r="O353" i="1"/>
  <c r="O352" i="1"/>
  <c r="O351" i="1"/>
  <c r="O350" i="1"/>
  <c r="O349" i="1"/>
  <c r="O348" i="1"/>
  <c r="O346" i="1"/>
  <c r="O344" i="1"/>
  <c r="O343" i="1"/>
  <c r="O342" i="1"/>
  <c r="O341" i="1"/>
  <c r="O339" i="1"/>
  <c r="O338" i="1"/>
  <c r="O337" i="1"/>
  <c r="O336" i="1"/>
  <c r="O334" i="1"/>
  <c r="O332" i="1"/>
  <c r="O330" i="1"/>
  <c r="O328" i="1"/>
  <c r="O327" i="1"/>
  <c r="O326" i="1"/>
  <c r="O325" i="1"/>
  <c r="O322" i="1"/>
  <c r="O321" i="1"/>
  <c r="O319" i="1"/>
  <c r="O318" i="1"/>
  <c r="O317" i="1"/>
  <c r="O316" i="1"/>
  <c r="O315" i="1"/>
  <c r="O312" i="1"/>
  <c r="O310" i="1"/>
  <c r="O309" i="1"/>
  <c r="O308" i="1"/>
  <c r="O307" i="1"/>
  <c r="O306" i="1"/>
  <c r="O305" i="1"/>
  <c r="O304" i="1"/>
  <c r="O302" i="1"/>
  <c r="O300" i="1"/>
  <c r="O299" i="1"/>
  <c r="O298" i="1"/>
  <c r="O297" i="1"/>
  <c r="O296" i="1"/>
  <c r="O293" i="1"/>
  <c r="O292" i="1"/>
  <c r="O291" i="1"/>
  <c r="O290" i="1"/>
  <c r="O289" i="1"/>
  <c r="O288" i="1"/>
  <c r="O286" i="1"/>
  <c r="O285" i="1"/>
  <c r="O284" i="1"/>
  <c r="O283" i="1"/>
  <c r="O282" i="1"/>
  <c r="O280" i="1"/>
  <c r="O276" i="1"/>
  <c r="O275" i="1"/>
  <c r="O269" i="1"/>
  <c r="O266" i="1"/>
  <c r="O254" i="1"/>
  <c r="O253" i="1"/>
  <c r="O252" i="1"/>
  <c r="O251" i="1"/>
  <c r="O248" i="1"/>
  <c r="O247" i="1"/>
  <c r="O246" i="1"/>
  <c r="O243" i="1"/>
  <c r="O242" i="1"/>
  <c r="O241" i="1"/>
  <c r="O238" i="1"/>
  <c r="O235" i="1"/>
  <c r="O233" i="1"/>
  <c r="O225" i="1"/>
  <c r="O223" i="1"/>
  <c r="O219" i="1"/>
  <c r="O216" i="1"/>
  <c r="O209" i="1"/>
  <c r="O208" i="1"/>
  <c r="O207" i="1"/>
  <c r="O206" i="1"/>
  <c r="O197" i="1"/>
  <c r="O190" i="1"/>
  <c r="O189" i="1"/>
  <c r="O182" i="1"/>
  <c r="O181" i="1"/>
  <c r="O179" i="1"/>
  <c r="O178" i="1"/>
  <c r="O176" i="1"/>
  <c r="O174" i="1"/>
  <c r="O173" i="1"/>
  <c r="O171" i="1"/>
  <c r="O168" i="1"/>
  <c r="O165" i="1"/>
  <c r="O159" i="1"/>
  <c r="O140" i="1"/>
  <c r="O138" i="1"/>
  <c r="O130" i="1"/>
  <c r="O124" i="1"/>
  <c r="O114" i="1"/>
  <c r="O107" i="1"/>
  <c r="O95" i="1"/>
  <c r="O93" i="1"/>
  <c r="O89" i="1"/>
  <c r="O88" i="1"/>
  <c r="O86" i="1"/>
  <c r="O85" i="1"/>
  <c r="O84" i="1"/>
  <c r="O81" i="1"/>
  <c r="O80" i="1"/>
  <c r="O78" i="1"/>
  <c r="O77" i="1"/>
  <c r="O72" i="1"/>
  <c r="O71" i="1"/>
  <c r="O66" i="1"/>
  <c r="O65" i="1"/>
  <c r="O61" i="1"/>
  <c r="O60" i="1"/>
  <c r="O58" i="1"/>
  <c r="O57" i="1"/>
  <c r="O52" i="1"/>
  <c r="O48" i="1"/>
  <c r="O47" i="1"/>
  <c r="O35" i="1"/>
  <c r="O31" i="1"/>
  <c r="O29" i="1"/>
  <c r="O27" i="1"/>
  <c r="O25" i="1"/>
  <c r="O24" i="1"/>
  <c r="O23" i="1"/>
  <c r="O19" i="1"/>
  <c r="O15" i="1"/>
  <c r="O13" i="1"/>
  <c r="O12" i="1"/>
  <c r="O10" i="1"/>
  <c r="O9" i="1"/>
  <c r="O8" i="1"/>
  <c r="O3" i="1"/>
  <c r="O2" i="1"/>
  <c r="P462" i="1"/>
  <c r="P461" i="1"/>
  <c r="P388" i="1"/>
  <c r="P354" i="1"/>
  <c r="P335" i="1"/>
  <c r="P303" i="1"/>
  <c r="P301" i="1"/>
  <c r="P273" i="1"/>
  <c r="P267" i="1"/>
  <c r="P265" i="1"/>
  <c r="P240" i="1"/>
  <c r="P239" i="1"/>
  <c r="P232" i="1"/>
  <c r="P211" i="1"/>
  <c r="P199" i="1"/>
  <c r="P191" i="1"/>
  <c r="P172" i="1"/>
  <c r="P170" i="1"/>
  <c r="P158" i="1"/>
  <c r="P156" i="1"/>
  <c r="P155" i="1"/>
  <c r="P154" i="1"/>
  <c r="P151" i="1"/>
  <c r="P149" i="1"/>
  <c r="P132" i="1"/>
  <c r="P119" i="1"/>
  <c r="P117" i="1"/>
  <c r="P106" i="1"/>
  <c r="P99" i="1"/>
  <c r="P98" i="1"/>
  <c r="P97" i="1"/>
  <c r="P96" i="1"/>
  <c r="P87" i="1"/>
  <c r="P83" i="1"/>
  <c r="P68" i="1"/>
  <c r="P56" i="1"/>
  <c r="P44" i="1"/>
  <c r="P21" i="1"/>
  <c r="P20" i="1"/>
  <c r="P16" i="1"/>
  <c r="P4" i="1"/>
  <c r="P2" i="1"/>
  <c r="P460" i="1"/>
  <c r="P459" i="1"/>
  <c r="P458" i="1"/>
  <c r="P457" i="1"/>
  <c r="P456" i="1"/>
  <c r="P446" i="1"/>
  <c r="P444" i="1"/>
  <c r="P443" i="1"/>
  <c r="P442" i="1"/>
  <c r="P439" i="1"/>
  <c r="P438" i="1"/>
  <c r="P437" i="1"/>
  <c r="P428" i="1"/>
  <c r="P427" i="1"/>
  <c r="P426" i="1"/>
  <c r="P424" i="1"/>
  <c r="P422" i="1"/>
  <c r="P421" i="1"/>
  <c r="P420" i="1"/>
  <c r="P419" i="1"/>
  <c r="P418" i="1"/>
  <c r="P417" i="1"/>
  <c r="P416" i="1"/>
  <c r="P413" i="1"/>
  <c r="P412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7" i="1"/>
  <c r="P386" i="1"/>
  <c r="P385" i="1"/>
  <c r="P384" i="1"/>
  <c r="P383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5" i="1"/>
  <c r="P353" i="1"/>
  <c r="P352" i="1"/>
  <c r="P351" i="1"/>
  <c r="P350" i="1"/>
  <c r="P349" i="1"/>
  <c r="P348" i="1"/>
  <c r="P346" i="1"/>
  <c r="P344" i="1"/>
  <c r="P343" i="1"/>
  <c r="P342" i="1"/>
  <c r="P341" i="1"/>
  <c r="P339" i="1"/>
  <c r="P338" i="1"/>
  <c r="P337" i="1"/>
  <c r="P336" i="1"/>
  <c r="P334" i="1"/>
  <c r="P332" i="1"/>
  <c r="P330" i="1"/>
  <c r="P328" i="1"/>
  <c r="P327" i="1"/>
  <c r="P326" i="1"/>
  <c r="P325" i="1"/>
  <c r="P322" i="1"/>
  <c r="P321" i="1"/>
  <c r="P319" i="1"/>
  <c r="P318" i="1"/>
  <c r="P317" i="1"/>
  <c r="P316" i="1"/>
  <c r="P315" i="1"/>
  <c r="P312" i="1"/>
  <c r="P310" i="1"/>
  <c r="P309" i="1"/>
  <c r="P308" i="1"/>
  <c r="P307" i="1"/>
  <c r="P306" i="1"/>
  <c r="P305" i="1"/>
  <c r="P304" i="1"/>
  <c r="P302" i="1"/>
  <c r="P300" i="1"/>
  <c r="P299" i="1"/>
  <c r="P298" i="1"/>
  <c r="P297" i="1"/>
  <c r="P296" i="1"/>
  <c r="P293" i="1"/>
  <c r="P292" i="1"/>
  <c r="P291" i="1"/>
  <c r="P290" i="1"/>
  <c r="P289" i="1"/>
  <c r="P288" i="1"/>
  <c r="P286" i="1"/>
  <c r="P285" i="1"/>
  <c r="P284" i="1"/>
  <c r="P283" i="1"/>
  <c r="P282" i="1"/>
  <c r="P280" i="1"/>
  <c r="P276" i="1"/>
  <c r="P275" i="1"/>
  <c r="P269" i="1"/>
  <c r="P266" i="1"/>
  <c r="P254" i="1"/>
  <c r="P253" i="1"/>
  <c r="P252" i="1"/>
  <c r="P251" i="1"/>
  <c r="P248" i="1"/>
  <c r="P247" i="1"/>
  <c r="P246" i="1"/>
  <c r="P243" i="1"/>
  <c r="P242" i="1"/>
  <c r="P241" i="1"/>
  <c r="P238" i="1"/>
  <c r="P235" i="1"/>
  <c r="P233" i="1"/>
  <c r="P225" i="1"/>
  <c r="P223" i="1"/>
  <c r="P219" i="1"/>
  <c r="P216" i="1"/>
  <c r="P209" i="1"/>
  <c r="P208" i="1"/>
  <c r="P207" i="1"/>
  <c r="P206" i="1"/>
  <c r="P197" i="1"/>
  <c r="P190" i="1"/>
  <c r="P189" i="1"/>
  <c r="P182" i="1"/>
  <c r="P181" i="1"/>
  <c r="P179" i="1"/>
  <c r="P178" i="1"/>
  <c r="P176" i="1"/>
  <c r="P174" i="1"/>
  <c r="P173" i="1"/>
  <c r="P171" i="1"/>
  <c r="P168" i="1"/>
  <c r="P165" i="1"/>
  <c r="P159" i="1"/>
  <c r="P140" i="1"/>
  <c r="P138" i="1"/>
  <c r="P130" i="1"/>
  <c r="P124" i="1"/>
  <c r="P114" i="1"/>
  <c r="P107" i="1"/>
  <c r="P95" i="1"/>
  <c r="P93" i="1"/>
  <c r="P89" i="1"/>
  <c r="P88" i="1"/>
  <c r="P86" i="1"/>
  <c r="P85" i="1"/>
  <c r="P84" i="1"/>
  <c r="P81" i="1"/>
  <c r="P80" i="1"/>
  <c r="P78" i="1"/>
  <c r="P77" i="1"/>
  <c r="P72" i="1"/>
  <c r="P71" i="1"/>
  <c r="P66" i="1"/>
  <c r="P65" i="1"/>
  <c r="P61" i="1"/>
  <c r="P60" i="1"/>
  <c r="P58" i="1"/>
  <c r="P57" i="1"/>
  <c r="P52" i="1"/>
  <c r="P48" i="1"/>
  <c r="P47" i="1"/>
  <c r="P35" i="1"/>
  <c r="P31" i="1"/>
  <c r="P29" i="1"/>
  <c r="P27" i="1"/>
  <c r="P25" i="1"/>
  <c r="P24" i="1"/>
  <c r="P23" i="1"/>
  <c r="P19" i="1"/>
  <c r="P15" i="1"/>
  <c r="P13" i="1"/>
  <c r="P12" i="1"/>
  <c r="P10" i="1"/>
  <c r="P9" i="1"/>
  <c r="P8" i="1"/>
  <c r="P3" i="1"/>
  <c r="Q384" i="1" l="1"/>
  <c r="Q342" i="1"/>
  <c r="U285" i="1"/>
  <c r="T285" i="1"/>
  <c r="Q286" i="1"/>
  <c r="Q460" i="1" l="1"/>
  <c r="Q459" i="1"/>
  <c r="Q458" i="1"/>
  <c r="Q457" i="1"/>
  <c r="Q456" i="1"/>
  <c r="Q446" i="1"/>
  <c r="Q444" i="1"/>
  <c r="Q443" i="1"/>
  <c r="Q442" i="1"/>
  <c r="Q439" i="1"/>
  <c r="Q438" i="1"/>
  <c r="Q437" i="1"/>
  <c r="Q428" i="1"/>
  <c r="Q427" i="1"/>
  <c r="Q426" i="1"/>
  <c r="Q424" i="1"/>
  <c r="Q422" i="1"/>
  <c r="Q421" i="1"/>
  <c r="Q420" i="1"/>
  <c r="Q419" i="1"/>
  <c r="Q418" i="1"/>
  <c r="Q417" i="1"/>
  <c r="Q416" i="1"/>
  <c r="Q413" i="1"/>
  <c r="Q412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7" i="1"/>
  <c r="Q386" i="1"/>
  <c r="Q385" i="1"/>
  <c r="Q383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5" i="1"/>
  <c r="Q353" i="1"/>
  <c r="Q352" i="1"/>
  <c r="Q351" i="1"/>
  <c r="Q350" i="1"/>
  <c r="Q349" i="1"/>
  <c r="Q348" i="1"/>
  <c r="Q346" i="1"/>
  <c r="Q344" i="1"/>
  <c r="Q343" i="1"/>
  <c r="Q341" i="1"/>
  <c r="Q339" i="1"/>
  <c r="Q338" i="1"/>
  <c r="Q337" i="1"/>
  <c r="Q336" i="1"/>
  <c r="Q334" i="1"/>
  <c r="Q332" i="1"/>
  <c r="Q330" i="1"/>
  <c r="Q328" i="1"/>
  <c r="Q327" i="1"/>
  <c r="Q326" i="1"/>
  <c r="Q325" i="1"/>
  <c r="Q322" i="1"/>
  <c r="Q321" i="1"/>
  <c r="Q319" i="1"/>
  <c r="Q318" i="1"/>
  <c r="Q317" i="1"/>
  <c r="Q316" i="1"/>
  <c r="Q315" i="1"/>
  <c r="Q312" i="1"/>
  <c r="Q310" i="1"/>
  <c r="Q309" i="1"/>
  <c r="Q308" i="1"/>
  <c r="Q307" i="1"/>
  <c r="Q305" i="1"/>
  <c r="Q306" i="1"/>
  <c r="Q304" i="1"/>
  <c r="Q302" i="1"/>
  <c r="Q300" i="1"/>
  <c r="Q299" i="1"/>
  <c r="Q298" i="1"/>
  <c r="Q297" i="1"/>
  <c r="Q296" i="1"/>
  <c r="Q293" i="1"/>
  <c r="Q292" i="1"/>
  <c r="Q291" i="1"/>
  <c r="Q290" i="1"/>
  <c r="Q289" i="1"/>
  <c r="Q288" i="1"/>
  <c r="Q285" i="1"/>
  <c r="Q284" i="1"/>
  <c r="Q283" i="1"/>
  <c r="Q282" i="1"/>
  <c r="Q280" i="1"/>
  <c r="Q276" i="1"/>
  <c r="Q275" i="1"/>
  <c r="Q269" i="1"/>
  <c r="Q266" i="1"/>
  <c r="Q254" i="1"/>
  <c r="Q253" i="1"/>
  <c r="Q252" i="1"/>
  <c r="Q251" i="1"/>
  <c r="Q248" i="1"/>
  <c r="Q247" i="1"/>
  <c r="Q246" i="1"/>
  <c r="Q243" i="1"/>
  <c r="Q242" i="1"/>
  <c r="Q241" i="1"/>
  <c r="Q238" i="1"/>
  <c r="Q235" i="1"/>
  <c r="Q233" i="1"/>
  <c r="Q225" i="1"/>
  <c r="Q223" i="1"/>
  <c r="Q219" i="1"/>
  <c r="Q216" i="1"/>
  <c r="Q209" i="1"/>
  <c r="Q208" i="1"/>
  <c r="Q207" i="1"/>
  <c r="Q206" i="1"/>
  <c r="Q197" i="1"/>
  <c r="Q190" i="1"/>
  <c r="Q189" i="1"/>
  <c r="Q182" i="1"/>
  <c r="Q181" i="1"/>
  <c r="Q179" i="1"/>
  <c r="Q178" i="1"/>
  <c r="Q176" i="1"/>
  <c r="Q174" i="1"/>
  <c r="Q173" i="1"/>
  <c r="Q171" i="1"/>
  <c r="Q168" i="1"/>
  <c r="Q165" i="1"/>
  <c r="Q159" i="1"/>
  <c r="Q140" i="1"/>
  <c r="Q138" i="1"/>
  <c r="Q130" i="1"/>
  <c r="Q124" i="1"/>
  <c r="Q114" i="1"/>
  <c r="Q107" i="1"/>
  <c r="Q95" i="1"/>
  <c r="Q93" i="1"/>
  <c r="Q89" i="1"/>
  <c r="Q88" i="1"/>
  <c r="Q86" i="1"/>
  <c r="Q85" i="1"/>
  <c r="Q84" i="1"/>
  <c r="Q81" i="1"/>
  <c r="Q80" i="1"/>
  <c r="Q78" i="1"/>
  <c r="Q77" i="1"/>
  <c r="Q72" i="1"/>
  <c r="Q71" i="1"/>
  <c r="Q66" i="1"/>
  <c r="Q65" i="1"/>
  <c r="Q61" i="1"/>
  <c r="Q60" i="1"/>
  <c r="Q58" i="1"/>
  <c r="Q57" i="1"/>
  <c r="Q52" i="1"/>
  <c r="Q48" i="1"/>
  <c r="Q47" i="1"/>
  <c r="Q35" i="1"/>
  <c r="Q31" i="1"/>
  <c r="Q29" i="1"/>
  <c r="Q27" i="1"/>
  <c r="Q25" i="1"/>
  <c r="Q24" i="1"/>
  <c r="Q23" i="1"/>
  <c r="Q19" i="1"/>
  <c r="Q15" i="1"/>
  <c r="Q13" i="1"/>
  <c r="Q12" i="1"/>
  <c r="Q10" i="1"/>
  <c r="Q9" i="1"/>
  <c r="Q8" i="1"/>
  <c r="Q3" i="1"/>
  <c r="Q2" i="1"/>
  <c r="AG449" i="1" l="1"/>
  <c r="AG450" i="1"/>
  <c r="AG451" i="1"/>
  <c r="AG452" i="1"/>
  <c r="AG453" i="1"/>
  <c r="AG454" i="1"/>
  <c r="AG455" i="1"/>
  <c r="U463" i="1"/>
  <c r="T463" i="1"/>
  <c r="I465" i="1"/>
  <c r="H465" i="1"/>
  <c r="G465" i="1"/>
  <c r="U449" i="1" l="1"/>
  <c r="T449" i="1"/>
  <c r="U404" i="1" l="1"/>
  <c r="T404" i="1"/>
  <c r="W406" i="1" l="1"/>
  <c r="W410" i="1" s="1"/>
  <c r="T408" i="1"/>
  <c r="T465" i="1" s="1"/>
  <c r="T410" i="1"/>
  <c r="T467" i="1" s="1"/>
  <c r="U403" i="1"/>
  <c r="T403" i="1"/>
  <c r="AB402" i="1"/>
  <c r="AB401" i="1"/>
  <c r="AB400" i="1"/>
  <c r="AB399" i="1"/>
  <c r="AB398" i="1"/>
  <c r="AB397" i="1"/>
  <c r="AB395" i="1"/>
  <c r="AB394" i="1"/>
  <c r="AB393" i="1"/>
  <c r="AB392" i="1"/>
  <c r="AB391" i="1"/>
  <c r="AB390" i="1"/>
  <c r="AB389" i="1"/>
  <c r="AB388" i="1"/>
  <c r="AB387" i="1"/>
  <c r="AB386" i="1"/>
  <c r="AB385" i="1"/>
  <c r="AB384" i="1"/>
  <c r="AB383" i="1"/>
  <c r="AB380" i="1"/>
  <c r="AB379" i="1"/>
  <c r="AB378" i="1"/>
  <c r="AB377" i="1"/>
  <c r="AB376" i="1"/>
  <c r="AB375" i="1"/>
  <c r="AB374" i="1"/>
  <c r="AB373" i="1"/>
  <c r="AB372" i="1"/>
  <c r="AB371" i="1"/>
  <c r="AB370" i="1"/>
  <c r="AB369" i="1"/>
  <c r="AB368" i="1"/>
  <c r="AB366" i="1"/>
  <c r="AB365" i="1"/>
  <c r="AB364" i="1"/>
  <c r="AB363" i="1"/>
  <c r="AB362" i="1"/>
  <c r="AB361" i="1"/>
  <c r="AB359" i="1"/>
  <c r="AB358" i="1"/>
  <c r="AB357" i="1"/>
  <c r="AB356" i="1"/>
  <c r="AB355" i="1"/>
  <c r="AB354" i="1"/>
  <c r="AB353" i="1"/>
  <c r="AB352" i="1"/>
  <c r="AB351" i="1"/>
  <c r="AB350" i="1"/>
  <c r="AB349" i="1"/>
  <c r="AB348" i="1"/>
  <c r="AB347" i="1"/>
  <c r="AB346" i="1"/>
  <c r="AB345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D311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V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  <c r="I468" i="1" l="1"/>
  <c r="H468" i="1"/>
  <c r="AD312" i="1"/>
  <c r="AD313" i="1" s="1"/>
  <c r="AD314" i="1" s="1"/>
  <c r="AG4" i="1"/>
  <c r="AG6" i="1"/>
  <c r="AG8" i="1"/>
  <c r="AG10" i="1"/>
  <c r="AG12" i="1"/>
  <c r="AG14" i="1"/>
  <c r="AG16" i="1"/>
  <c r="AG18" i="1"/>
  <c r="AG20" i="1"/>
  <c r="AG22" i="1"/>
  <c r="AG24" i="1"/>
  <c r="AG26" i="1"/>
  <c r="AG28" i="1"/>
  <c r="AG30" i="1"/>
  <c r="AG32" i="1"/>
  <c r="AG34" i="1"/>
  <c r="AG36" i="1"/>
  <c r="AG38" i="1"/>
  <c r="AG40" i="1"/>
  <c r="AG44" i="1"/>
  <c r="AG47" i="1"/>
  <c r="AG49" i="1"/>
  <c r="AG51" i="1"/>
  <c r="AG53" i="1"/>
  <c r="AG55" i="1"/>
  <c r="AG57" i="1"/>
  <c r="AG59" i="1"/>
  <c r="AG62" i="1"/>
  <c r="AG64" i="1"/>
  <c r="AG66" i="1"/>
  <c r="AG68" i="1"/>
  <c r="AG70" i="1"/>
  <c r="AG72" i="1"/>
  <c r="AG74" i="1"/>
  <c r="AG77" i="1"/>
  <c r="AG79" i="1"/>
  <c r="AG84" i="1"/>
  <c r="AG87" i="1"/>
  <c r="AG89" i="1"/>
  <c r="AG91" i="1"/>
  <c r="AG93" i="1"/>
  <c r="AG95" i="1"/>
  <c r="AG98" i="1"/>
  <c r="AG100" i="1"/>
  <c r="AG103" i="1"/>
  <c r="AG105" i="1"/>
  <c r="AG107" i="1"/>
  <c r="AG111" i="1"/>
  <c r="AG113" i="1"/>
  <c r="AG115" i="1"/>
  <c r="AG117" i="1"/>
  <c r="AG119" i="1"/>
  <c r="AG121" i="1"/>
  <c r="AG123" i="1"/>
  <c r="AG125" i="1"/>
  <c r="AG127" i="1"/>
  <c r="AG129" i="1"/>
  <c r="AG131" i="1"/>
  <c r="AG136" i="1"/>
  <c r="AG138" i="1"/>
  <c r="AG140" i="1"/>
  <c r="AG142" i="1"/>
  <c r="AG144" i="1"/>
  <c r="AG147" i="1"/>
  <c r="AG149" i="1"/>
  <c r="AG151" i="1"/>
  <c r="AG153" i="1"/>
  <c r="AG155" i="1"/>
  <c r="AG157" i="1"/>
  <c r="AG159" i="1"/>
  <c r="AG161" i="1"/>
  <c r="AG163" i="1"/>
  <c r="AG165" i="1"/>
  <c r="AG167" i="1"/>
  <c r="AG169" i="1"/>
  <c r="AG171" i="1"/>
  <c r="AG173" i="1"/>
  <c r="AG175" i="1"/>
  <c r="AG178" i="1"/>
  <c r="AG180" i="1"/>
  <c r="AG182" i="1"/>
  <c r="AG184" i="1"/>
  <c r="AG5" i="1"/>
  <c r="AG9" i="1"/>
  <c r="AG13" i="1"/>
  <c r="AG17" i="1"/>
  <c r="AG21" i="1"/>
  <c r="AG25" i="1"/>
  <c r="AG29" i="1"/>
  <c r="AG33" i="1"/>
  <c r="AG37" i="1"/>
  <c r="AG41" i="1"/>
  <c r="AG48" i="1"/>
  <c r="AG52" i="1"/>
  <c r="AG56" i="1"/>
  <c r="AG61" i="1"/>
  <c r="AG65" i="1"/>
  <c r="AG69" i="1"/>
  <c r="AG73" i="1"/>
  <c r="AG78" i="1"/>
  <c r="AG83" i="1"/>
  <c r="AG88" i="1"/>
  <c r="AG92" i="1"/>
  <c r="AG97" i="1"/>
  <c r="AG101" i="1"/>
  <c r="AG106" i="1"/>
  <c r="AG110" i="1"/>
  <c r="AG114" i="1"/>
  <c r="AG118" i="1"/>
  <c r="AG122" i="1"/>
  <c r="AG126" i="1"/>
  <c r="AG130" i="1"/>
  <c r="AG139" i="1"/>
  <c r="AG143" i="1"/>
  <c r="AG148" i="1"/>
  <c r="AG152" i="1"/>
  <c r="AG156" i="1"/>
  <c r="AG160" i="1"/>
  <c r="AG164" i="1"/>
  <c r="AG168" i="1"/>
  <c r="AG172" i="1"/>
  <c r="AG176" i="1"/>
  <c r="AG181" i="1"/>
  <c r="AG185" i="1"/>
  <c r="AG187" i="1"/>
  <c r="AG189" i="1"/>
  <c r="AG191" i="1"/>
  <c r="AG194" i="1"/>
  <c r="AG196" i="1"/>
  <c r="AG198" i="1"/>
  <c r="AG201" i="1"/>
  <c r="AG203" i="1"/>
  <c r="AG205" i="1"/>
  <c r="AG207" i="1"/>
  <c r="AG209" i="1"/>
  <c r="AG211" i="1"/>
  <c r="AG213" i="1"/>
  <c r="AG215" i="1"/>
  <c r="AG217" i="1"/>
  <c r="AG219" i="1"/>
  <c r="AG221" i="1"/>
  <c r="AG223" i="1"/>
  <c r="AG225" i="1"/>
  <c r="AG227" i="1"/>
  <c r="AG229" i="1"/>
  <c r="AG231" i="1"/>
  <c r="AG233" i="1"/>
  <c r="AG235" i="1"/>
  <c r="AG237" i="1"/>
  <c r="AG239" i="1"/>
  <c r="AG241" i="1"/>
  <c r="AG243" i="1"/>
  <c r="AG245" i="1"/>
  <c r="AG248" i="1"/>
  <c r="AG250" i="1"/>
  <c r="AG252" i="1"/>
  <c r="AG254" i="1"/>
  <c r="AG256" i="1"/>
  <c r="AG258" i="1"/>
  <c r="AG260" i="1"/>
  <c r="AG262" i="1"/>
  <c r="AG264" i="1"/>
  <c r="AG266" i="1"/>
  <c r="AG268" i="1"/>
  <c r="AG270" i="1"/>
  <c r="AG272" i="1"/>
  <c r="AG276" i="1"/>
  <c r="AG280" i="1"/>
  <c r="AG3" i="1"/>
  <c r="AG7" i="1"/>
  <c r="AG11" i="1"/>
  <c r="AG15" i="1"/>
  <c r="AG19" i="1"/>
  <c r="AG23" i="1"/>
  <c r="AG27" i="1"/>
  <c r="AG31" i="1"/>
  <c r="AG35" i="1"/>
  <c r="AG39" i="1"/>
  <c r="AG46" i="1"/>
  <c r="AG50" i="1"/>
  <c r="AG54" i="1"/>
  <c r="AG58" i="1"/>
  <c r="AG63" i="1"/>
  <c r="AG67" i="1"/>
  <c r="AG71" i="1"/>
  <c r="AG81" i="1"/>
  <c r="AG86" i="1"/>
  <c r="AG90" i="1"/>
  <c r="AG94" i="1"/>
  <c r="AG99" i="1"/>
  <c r="AG104" i="1"/>
  <c r="AG112" i="1"/>
  <c r="AG116" i="1"/>
  <c r="AG120" i="1"/>
  <c r="AG124" i="1"/>
  <c r="AG128" i="1"/>
  <c r="AG133" i="1"/>
  <c r="AG137" i="1"/>
  <c r="AG141" i="1"/>
  <c r="AG150" i="1"/>
  <c r="AG154" i="1"/>
  <c r="AG158" i="1"/>
  <c r="AG162" i="1"/>
  <c r="AG166" i="1"/>
  <c r="AG170" i="1"/>
  <c r="AG174" i="1"/>
  <c r="AG179" i="1"/>
  <c r="AG183" i="1"/>
  <c r="AG186" i="1"/>
  <c r="AG188" i="1"/>
  <c r="AG190" i="1"/>
  <c r="AG193" i="1"/>
  <c r="AG195" i="1"/>
  <c r="AG197" i="1"/>
  <c r="AG199" i="1"/>
  <c r="AG202" i="1"/>
  <c r="AG204" i="1"/>
  <c r="AG206" i="1"/>
  <c r="AG208" i="1"/>
  <c r="AG210" i="1"/>
  <c r="AG212" i="1"/>
  <c r="AG214" i="1"/>
  <c r="AG216" i="1"/>
  <c r="AG218" i="1"/>
  <c r="AG220" i="1"/>
  <c r="AG222" i="1"/>
  <c r="AG224" i="1"/>
  <c r="AG226" i="1"/>
  <c r="AG228" i="1"/>
  <c r="AG230" i="1"/>
  <c r="AG232" i="1"/>
  <c r="AG234" i="1"/>
  <c r="AG236" i="1"/>
  <c r="AG238" i="1"/>
  <c r="AG240" i="1"/>
  <c r="AG242" i="1"/>
  <c r="AG244" i="1"/>
  <c r="AG246" i="1"/>
  <c r="AG249" i="1"/>
  <c r="AG251" i="1"/>
  <c r="AG253" i="1"/>
  <c r="AG255" i="1"/>
  <c r="AG257" i="1"/>
  <c r="AG259" i="1"/>
  <c r="AG261" i="1"/>
  <c r="AG263" i="1"/>
  <c r="AG265" i="1"/>
  <c r="AG267" i="1"/>
  <c r="AG269" i="1"/>
  <c r="AG271" i="1"/>
  <c r="AG275" i="1"/>
  <c r="AG279" i="1"/>
  <c r="AG282" i="1"/>
  <c r="AG284" i="1"/>
  <c r="AG286" i="1"/>
  <c r="AG288" i="1"/>
  <c r="AG290" i="1"/>
  <c r="AG292" i="1"/>
  <c r="AG297" i="1"/>
  <c r="AG299" i="1"/>
  <c r="AG301" i="1"/>
  <c r="AG303" i="1"/>
  <c r="AG306" i="1"/>
  <c r="AG309" i="1"/>
  <c r="AG312" i="1"/>
  <c r="AG317" i="1"/>
  <c r="AG321" i="1"/>
  <c r="AG324" i="1"/>
  <c r="AG326" i="1"/>
  <c r="AG328" i="1"/>
  <c r="AG332" i="1"/>
  <c r="AG334" i="1"/>
  <c r="AG336" i="1"/>
  <c r="AG338" i="1"/>
  <c r="AG341" i="1"/>
  <c r="AG344" i="1"/>
  <c r="AG348" i="1"/>
  <c r="AG350" i="1"/>
  <c r="AG352" i="1"/>
  <c r="AG354" i="1"/>
  <c r="AG358" i="1"/>
  <c r="AG360" i="1"/>
  <c r="AG362" i="1"/>
  <c r="AG364" i="1"/>
  <c r="AG366" i="1"/>
  <c r="AG369" i="1"/>
  <c r="AG371" i="1"/>
  <c r="AG373" i="1"/>
  <c r="AG375" i="1"/>
  <c r="AG377" i="1"/>
  <c r="AG379" i="1"/>
  <c r="AG383" i="1"/>
  <c r="AG385" i="1"/>
  <c r="AG388" i="1"/>
  <c r="AG390" i="1"/>
  <c r="AG392" i="1"/>
  <c r="AG394" i="1"/>
  <c r="AG396" i="1"/>
  <c r="AG398" i="1"/>
  <c r="AG400" i="1"/>
  <c r="AG402" i="1"/>
  <c r="AG273" i="1"/>
  <c r="AG277" i="1"/>
  <c r="AG281" i="1"/>
  <c r="AG283" i="1"/>
  <c r="AG285" i="1"/>
  <c r="AG287" i="1"/>
  <c r="AG289" i="1"/>
  <c r="AG291" i="1"/>
  <c r="AG293" i="1"/>
  <c r="AG296" i="1"/>
  <c r="AG298" i="1"/>
  <c r="AG300" i="1"/>
  <c r="AG302" i="1"/>
  <c r="AG304" i="1"/>
  <c r="AG307" i="1"/>
  <c r="AG310" i="1"/>
  <c r="AG315" i="1"/>
  <c r="AG318" i="1"/>
  <c r="AG322" i="1"/>
  <c r="AG325" i="1"/>
  <c r="AG327" i="1"/>
  <c r="AG330" i="1"/>
  <c r="AG333" i="1"/>
  <c r="AG335" i="1"/>
  <c r="AG337" i="1"/>
  <c r="AG339" i="1"/>
  <c r="AG342" i="1"/>
  <c r="AG346" i="1"/>
  <c r="AG349" i="1"/>
  <c r="AG351" i="1"/>
  <c r="AG353" i="1"/>
  <c r="AG355" i="1"/>
  <c r="AG357" i="1"/>
  <c r="AG359" i="1"/>
  <c r="AG361" i="1"/>
  <c r="AG363" i="1"/>
  <c r="AG365" i="1"/>
  <c r="AG368" i="1"/>
  <c r="AG370" i="1"/>
  <c r="AG372" i="1"/>
  <c r="AG374" i="1"/>
  <c r="AG376" i="1"/>
  <c r="AG378" i="1"/>
  <c r="AG380" i="1"/>
  <c r="AG384" i="1"/>
  <c r="AG386" i="1"/>
  <c r="AG389" i="1"/>
  <c r="AG391" i="1"/>
  <c r="AG393" i="1"/>
  <c r="AG395" i="1"/>
  <c r="AG397" i="1"/>
  <c r="AG399" i="1"/>
  <c r="AG401" i="1"/>
  <c r="W408" i="1"/>
  <c r="AG457" i="1" l="1"/>
  <c r="AG458" i="1"/>
  <c r="AG459" i="1"/>
  <c r="AG460" i="1"/>
  <c r="AG461" i="1"/>
  <c r="AG462" i="1"/>
  <c r="AG456" i="1"/>
  <c r="AG413" i="1"/>
  <c r="AG414" i="1"/>
  <c r="AG416" i="1"/>
  <c r="AG418" i="1"/>
  <c r="AG420" i="1"/>
  <c r="AG422" i="1"/>
  <c r="AG424" i="1"/>
  <c r="AG426" i="1"/>
  <c r="AG428" i="1"/>
  <c r="AG431" i="1"/>
  <c r="AG433" i="1"/>
  <c r="AG436" i="1"/>
  <c r="AG438" i="1"/>
  <c r="AG440" i="1"/>
  <c r="AG442" i="1"/>
  <c r="AG444" i="1"/>
  <c r="AG446" i="1"/>
  <c r="AG448" i="1"/>
  <c r="AG412" i="1"/>
  <c r="AG415" i="1"/>
  <c r="AG417" i="1"/>
  <c r="AG419" i="1"/>
  <c r="AG421" i="1"/>
  <c r="AG423" i="1"/>
  <c r="AG425" i="1"/>
  <c r="AG427" i="1"/>
  <c r="AG430" i="1"/>
  <c r="AG432" i="1"/>
  <c r="AG435" i="1"/>
  <c r="AG437" i="1"/>
  <c r="AG439" i="1"/>
  <c r="AG441" i="1"/>
  <c r="AG443" i="1"/>
  <c r="AG445" i="1"/>
  <c r="AG447" i="1"/>
  <c r="AG76" i="1"/>
  <c r="AD315" i="1"/>
  <c r="AD316" i="1" s="1"/>
  <c r="AD317" i="1" s="1"/>
  <c r="AD318" i="1" s="1"/>
  <c r="AD319" i="1" s="1"/>
  <c r="AD320" i="1" s="1"/>
  <c r="AD321" i="1" s="1"/>
  <c r="AD322" i="1" s="1"/>
  <c r="AD323" i="1" s="1"/>
  <c r="AD324" i="1" s="1"/>
  <c r="AD325" i="1" s="1"/>
  <c r="AD326" i="1" s="1"/>
  <c r="AD327" i="1" s="1"/>
  <c r="AD328" i="1" s="1"/>
  <c r="AD329" i="1" s="1"/>
  <c r="AD330" i="1" s="1"/>
  <c r="AD331" i="1" s="1"/>
  <c r="AD332" i="1" s="1"/>
  <c r="AD333" i="1" s="1"/>
  <c r="AD334" i="1" s="1"/>
  <c r="AD335" i="1" s="1"/>
  <c r="AD336" i="1" s="1"/>
  <c r="AD337" i="1" s="1"/>
  <c r="AD338" i="1" s="1"/>
  <c r="AD2" i="1"/>
  <c r="AG2" i="1"/>
  <c r="AD3" i="1" l="1"/>
  <c r="AD4" i="1" s="1"/>
  <c r="AD5" i="1" s="1"/>
  <c r="AD6" i="1" s="1"/>
  <c r="AD7" i="1" s="1"/>
  <c r="AD8" i="1" s="1"/>
  <c r="AD9" i="1" s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D70" i="1" s="1"/>
  <c r="AD71" i="1" s="1"/>
  <c r="AD72" i="1" s="1"/>
  <c r="AD73" i="1" s="1"/>
  <c r="AD74" i="1" s="1"/>
  <c r="AD75" i="1" s="1"/>
  <c r="AD76" i="1" s="1"/>
  <c r="AD77" i="1" s="1"/>
  <c r="AD78" i="1" s="1"/>
  <c r="AD79" i="1" s="1"/>
  <c r="AD80" i="1" s="1"/>
  <c r="AD81" i="1" s="1"/>
  <c r="AD82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D97" i="1" s="1"/>
  <c r="AD98" i="1" s="1"/>
  <c r="AD99" i="1" s="1"/>
  <c r="AD100" i="1" s="1"/>
  <c r="AD101" i="1" s="1"/>
  <c r="AD102" i="1" s="1"/>
  <c r="AD103" i="1" s="1"/>
  <c r="AD104" i="1" s="1"/>
  <c r="AD105" i="1" s="1"/>
  <c r="AD106" i="1" s="1"/>
  <c r="AD107" i="1" s="1"/>
  <c r="AD108" i="1" s="1"/>
  <c r="AD109" i="1" s="1"/>
  <c r="AD110" i="1" s="1"/>
  <c r="AD111" i="1" s="1"/>
  <c r="AD112" i="1" s="1"/>
  <c r="AD113" i="1" s="1"/>
  <c r="AD114" i="1" s="1"/>
  <c r="AD115" i="1" s="1"/>
  <c r="AD116" i="1" s="1"/>
  <c r="AD117" i="1" s="1"/>
  <c r="AD118" i="1" s="1"/>
  <c r="AD119" i="1" s="1"/>
  <c r="AD120" i="1" s="1"/>
  <c r="AD121" i="1" s="1"/>
  <c r="AD122" i="1" s="1"/>
  <c r="AD123" i="1" s="1"/>
  <c r="AD124" i="1" s="1"/>
  <c r="AD125" i="1" s="1"/>
  <c r="AD126" i="1" s="1"/>
  <c r="AD127" i="1" s="1"/>
  <c r="AD128" i="1" s="1"/>
  <c r="AD129" i="1" s="1"/>
  <c r="AD130" i="1" s="1"/>
  <c r="AD131" i="1" s="1"/>
  <c r="AD132" i="1" s="1"/>
  <c r="AD133" i="1" s="1"/>
  <c r="AD134" i="1" s="1"/>
  <c r="AD135" i="1" s="1"/>
  <c r="AD136" i="1" s="1"/>
  <c r="AD137" i="1" s="1"/>
  <c r="AD138" i="1" s="1"/>
  <c r="AD139" i="1" s="1"/>
  <c r="AD140" i="1" s="1"/>
  <c r="AD141" i="1" s="1"/>
  <c r="AD142" i="1" s="1"/>
  <c r="AD143" i="1" s="1"/>
  <c r="AD144" i="1" s="1"/>
  <c r="AD145" i="1" s="1"/>
  <c r="AD146" i="1" s="1"/>
  <c r="AD147" i="1" s="1"/>
  <c r="AD148" i="1" s="1"/>
  <c r="AD149" i="1" s="1"/>
  <c r="AD150" i="1" s="1"/>
  <c r="AD151" i="1" s="1"/>
  <c r="AD152" i="1" s="1"/>
  <c r="AD153" i="1" s="1"/>
  <c r="AD154" i="1" s="1"/>
  <c r="AD155" i="1" s="1"/>
  <c r="AD156" i="1" s="1"/>
  <c r="AD157" i="1" s="1"/>
  <c r="AD158" i="1" s="1"/>
  <c r="AD159" i="1" s="1"/>
  <c r="AD160" i="1" s="1"/>
  <c r="AD161" i="1" s="1"/>
  <c r="AD162" i="1" s="1"/>
  <c r="AD163" i="1" s="1"/>
  <c r="AD164" i="1" s="1"/>
  <c r="AD165" i="1" s="1"/>
  <c r="AD166" i="1" s="1"/>
  <c r="AD167" i="1" s="1"/>
  <c r="AD168" i="1" s="1"/>
  <c r="AD169" i="1" s="1"/>
  <c r="AD170" i="1" s="1"/>
  <c r="AD171" i="1" s="1"/>
  <c r="AD172" i="1" s="1"/>
  <c r="AD173" i="1" s="1"/>
  <c r="AD174" i="1" s="1"/>
  <c r="AD175" i="1" s="1"/>
  <c r="AD176" i="1" s="1"/>
  <c r="AD177" i="1" s="1"/>
  <c r="AD178" i="1" s="1"/>
  <c r="AD179" i="1" s="1"/>
  <c r="AD180" i="1" s="1"/>
  <c r="AD181" i="1" s="1"/>
  <c r="AD182" i="1" s="1"/>
  <c r="AD183" i="1" s="1"/>
  <c r="AD184" i="1" s="1"/>
  <c r="AD185" i="1" s="1"/>
  <c r="AD186" i="1" s="1"/>
  <c r="AD187" i="1" s="1"/>
  <c r="AD188" i="1" s="1"/>
  <c r="AD189" i="1" s="1"/>
  <c r="AD190" i="1" s="1"/>
  <c r="AD191" i="1" s="1"/>
  <c r="AD192" i="1" s="1"/>
  <c r="AD193" i="1" s="1"/>
  <c r="AD194" i="1" s="1"/>
  <c r="AD195" i="1" s="1"/>
  <c r="AD196" i="1" s="1"/>
  <c r="AD197" i="1" s="1"/>
  <c r="AD198" i="1" s="1"/>
  <c r="AD199" i="1" s="1"/>
  <c r="AD200" i="1" s="1"/>
  <c r="AD201" i="1" s="1"/>
  <c r="AD202" i="1" s="1"/>
  <c r="AD203" i="1" s="1"/>
  <c r="AD204" i="1" s="1"/>
  <c r="AD205" i="1" s="1"/>
  <c r="AD206" i="1" s="1"/>
  <c r="AD207" i="1" s="1"/>
  <c r="AD208" i="1" s="1"/>
  <c r="AD209" i="1" s="1"/>
  <c r="AD210" i="1" s="1"/>
  <c r="AD211" i="1" s="1"/>
  <c r="AD212" i="1" s="1"/>
  <c r="AD213" i="1" s="1"/>
  <c r="AD214" i="1" s="1"/>
  <c r="AD215" i="1" s="1"/>
  <c r="AD216" i="1" s="1"/>
  <c r="AD217" i="1" s="1"/>
  <c r="AD218" i="1" s="1"/>
  <c r="AD219" i="1" s="1"/>
  <c r="AD220" i="1" s="1"/>
  <c r="AD221" i="1" s="1"/>
  <c r="AD222" i="1" s="1"/>
  <c r="AD223" i="1" s="1"/>
  <c r="AD224" i="1" s="1"/>
  <c r="AD225" i="1" s="1"/>
  <c r="AD226" i="1" s="1"/>
  <c r="AD227" i="1" s="1"/>
  <c r="AD228" i="1" s="1"/>
  <c r="AD229" i="1" s="1"/>
  <c r="AD230" i="1" s="1"/>
  <c r="AD231" i="1" s="1"/>
  <c r="AD232" i="1" s="1"/>
  <c r="AD233" i="1" s="1"/>
  <c r="AD234" i="1" s="1"/>
  <c r="AD235" i="1" s="1"/>
  <c r="AD236" i="1" s="1"/>
  <c r="AD237" i="1" s="1"/>
  <c r="AD238" i="1" s="1"/>
  <c r="AD239" i="1" s="1"/>
  <c r="AD240" i="1" s="1"/>
  <c r="AD241" i="1" s="1"/>
  <c r="AD242" i="1" s="1"/>
  <c r="AD243" i="1" s="1"/>
  <c r="AD244" i="1" s="1"/>
  <c r="AD245" i="1" s="1"/>
  <c r="AD246" i="1" s="1"/>
  <c r="AD247" i="1" s="1"/>
  <c r="AD248" i="1" s="1"/>
  <c r="AD249" i="1" s="1"/>
  <c r="AD250" i="1" s="1"/>
  <c r="AD251" i="1" s="1"/>
  <c r="AD252" i="1" s="1"/>
  <c r="AD253" i="1" s="1"/>
  <c r="AD254" i="1" s="1"/>
  <c r="AD255" i="1" s="1"/>
  <c r="AD256" i="1" s="1"/>
  <c r="AD257" i="1" s="1"/>
  <c r="AD258" i="1" s="1"/>
  <c r="AD259" i="1" s="1"/>
  <c r="AD260" i="1" s="1"/>
  <c r="AD261" i="1" s="1"/>
  <c r="AD262" i="1" s="1"/>
  <c r="AD263" i="1" s="1"/>
  <c r="AD264" i="1" s="1"/>
  <c r="AD265" i="1" s="1"/>
  <c r="AD266" i="1" s="1"/>
  <c r="AD267" i="1" s="1"/>
  <c r="AD268" i="1" s="1"/>
  <c r="AD269" i="1" s="1"/>
  <c r="AD270" i="1" s="1"/>
  <c r="AD271" i="1" s="1"/>
  <c r="AD272" i="1" s="1"/>
  <c r="AD273" i="1" s="1"/>
  <c r="AD274" i="1" s="1"/>
  <c r="AD275" i="1" s="1"/>
  <c r="AD276" i="1" s="1"/>
  <c r="AD277" i="1" s="1"/>
  <c r="AD278" i="1" s="1"/>
  <c r="AD279" i="1" s="1"/>
  <c r="AD280" i="1" s="1"/>
  <c r="AD281" i="1" s="1"/>
  <c r="AD282" i="1" s="1"/>
  <c r="AD283" i="1" s="1"/>
  <c r="AD284" i="1" s="1"/>
  <c r="AD285" i="1" s="1"/>
  <c r="AD286" i="1" s="1"/>
  <c r="AD287" i="1" s="1"/>
  <c r="AD288" i="1" s="1"/>
  <c r="AD289" i="1" s="1"/>
  <c r="AD290" i="1" s="1"/>
  <c r="AD291" i="1" s="1"/>
  <c r="AD292" i="1" s="1"/>
  <c r="AD293" i="1" s="1"/>
  <c r="AD294" i="1" s="1"/>
  <c r="AD295" i="1" s="1"/>
  <c r="AD296" i="1" s="1"/>
  <c r="AD297" i="1" s="1"/>
  <c r="AD298" i="1" s="1"/>
  <c r="AD299" i="1" s="1"/>
  <c r="AD300" i="1" s="1"/>
  <c r="AD301" i="1" s="1"/>
  <c r="AD302" i="1" s="1"/>
  <c r="AD303" i="1" s="1"/>
  <c r="AD304" i="1" s="1"/>
  <c r="AD305" i="1" s="1"/>
  <c r="AD306" i="1" s="1"/>
  <c r="AD307" i="1" s="1"/>
  <c r="AD308" i="1" s="1"/>
  <c r="AD309" i="1" s="1"/>
  <c r="AD310" i="1" s="1"/>
  <c r="AG463" i="1"/>
</calcChain>
</file>

<file path=xl/sharedStrings.xml><?xml version="1.0" encoding="utf-8"?>
<sst xmlns="http://schemas.openxmlformats.org/spreadsheetml/2006/main" count="2724" uniqueCount="1281">
  <si>
    <r>
      <rPr>
        <sz val="11"/>
        <color rgb="FF00B050"/>
        <rFont val="Calibri"/>
        <family val="2"/>
        <scheme val="minor"/>
      </rPr>
      <t>green means from college site</t>
    </r>
    <r>
      <rPr>
        <sz val="11"/>
        <color theme="1"/>
        <rFont val="Calibri"/>
        <family val="2"/>
        <scheme val="minor"/>
      </rPr>
      <t>,black is from OEDb: all are f11 to f12</t>
    </r>
  </si>
  <si>
    <t>church</t>
  </si>
  <si>
    <t>Private</t>
  </si>
  <si>
    <r>
      <t xml:space="preserve">Enrollment </t>
    </r>
    <r>
      <rPr>
        <b/>
        <sz val="7.5"/>
        <color theme="1"/>
        <rFont val="Calibri"/>
        <family val="2"/>
        <scheme val="minor"/>
      </rPr>
      <t>(2013) undergrad</t>
    </r>
  </si>
  <si>
    <r>
      <t xml:space="preserve">Ren&gt;Enrollment </t>
    </r>
    <r>
      <rPr>
        <b/>
        <sz val="7.5"/>
        <color theme="1"/>
        <rFont val="Calibri"/>
        <family val="2"/>
        <scheme val="minor"/>
      </rPr>
      <t>(2013) undergrad</t>
    </r>
  </si>
  <si>
    <r>
      <t xml:space="preserve">Grad&gt;Enrollment </t>
    </r>
    <r>
      <rPr>
        <b/>
        <sz val="7.5"/>
        <color theme="1"/>
        <rFont val="Calibri"/>
        <family val="2"/>
        <scheme val="minor"/>
      </rPr>
      <t>(2013) undergrad</t>
    </r>
  </si>
  <si>
    <r>
      <t xml:space="preserve">Enrollment </t>
    </r>
    <r>
      <rPr>
        <b/>
        <sz val="7.5"/>
        <color theme="1"/>
        <rFont val="Calibri"/>
        <family val="2"/>
        <scheme val="minor"/>
      </rPr>
      <t>(2005)</t>
    </r>
  </si>
  <si>
    <t>percent F</t>
  </si>
  <si>
    <t>semester</t>
  </si>
  <si>
    <t>state</t>
  </si>
  <si>
    <t>acceptance rate</t>
  </si>
  <si>
    <t>retention rate</t>
  </si>
  <si>
    <t>grad_rate_6yr</t>
  </si>
  <si>
    <t>Ret.Enr.Wall</t>
  </si>
  <si>
    <t>Grad.enr.Wall</t>
  </si>
  <si>
    <t>Ret.Enr.Wall2</t>
  </si>
  <si>
    <t>Fper.Weig</t>
  </si>
  <si>
    <t>American International College</t>
  </si>
  <si>
    <t>Springfield</t>
  </si>
  <si>
    <t>Master's university</t>
  </si>
  <si>
    <t>F14</t>
  </si>
  <si>
    <t>MA</t>
  </si>
  <si>
    <t>Amherst College</t>
  </si>
  <si>
    <t>Amherst</t>
  </si>
  <si>
    <t>Baccalaureate college</t>
  </si>
  <si>
    <t>https://www.amherst.edu/system/files/CDS1314_B_Enrollment_Persistence_2.pdf</t>
  </si>
  <si>
    <t>Anna Maria College</t>
  </si>
  <si>
    <t>Paxton</t>
  </si>
  <si>
    <t xml:space="preserve"> </t>
  </si>
  <si>
    <t>f14</t>
  </si>
  <si>
    <t>Assumption College</t>
  </si>
  <si>
    <t>Worcester</t>
  </si>
  <si>
    <t>Bard College at Simon's Rock</t>
  </si>
  <si>
    <t>Great Barrington</t>
  </si>
  <si>
    <t>Baccalaureate/associate's college</t>
  </si>
  <si>
    <t>Bay Path University</t>
  </si>
  <si>
    <t>Longmeadow</t>
  </si>
  <si>
    <t>Becker College</t>
  </si>
  <si>
    <t>http://www.becker.edu/wp-content/uploads/2013/03/Public_PersitGrad12.pdf</t>
  </si>
  <si>
    <t>Bentley University</t>
  </si>
  <si>
    <t>Waltham</t>
  </si>
  <si>
    <t xml:space="preserve"> http://collegeapps.about.com/od/collegeprofiles/p/bentley-university.htm</t>
  </si>
  <si>
    <t>Boston College</t>
  </si>
  <si>
    <t>Chestnut Hill</t>
  </si>
  <si>
    <t>Research university</t>
  </si>
  <si>
    <t>http://collegeapps.about.com/od/collegeprofiles/p/Boston-College.htm</t>
  </si>
  <si>
    <t>Boston University</t>
  </si>
  <si>
    <t>Boston</t>
  </si>
  <si>
    <t>http://www.bu.edu/oir/gradretention/</t>
  </si>
  <si>
    <t>Brandeis University</t>
  </si>
  <si>
    <t>http://collegeapps.about.com/od/collegeprofiles/p/brandeis.htm</t>
  </si>
  <si>
    <t>Bridgewater State University</t>
  </si>
  <si>
    <t>Bridgewater</t>
  </si>
  <si>
    <t>Public</t>
  </si>
  <si>
    <t>Cambridge College</t>
  </si>
  <si>
    <t>Cambridge</t>
  </si>
  <si>
    <t>Clark University</t>
  </si>
  <si>
    <t>https://www.clarku.edu/aboutclark/pdfs/F12_HEOA_Pers_GradRates.pdf</t>
  </si>
  <si>
    <t>College of the Holy Cross</t>
  </si>
  <si>
    <t>http://collegeapps.about.com/od/collegeprofiles/p/holy-cross.htm</t>
  </si>
  <si>
    <t>Eastern Nazarene College</t>
  </si>
  <si>
    <t>Quincy</t>
  </si>
  <si>
    <t>Elms College</t>
  </si>
  <si>
    <t>Chicopee</t>
  </si>
  <si>
    <t>Emerson College</t>
  </si>
  <si>
    <t>http://www.emerson.edu/about-emerson/notices-disclosures/retention-graduation-rates</t>
  </si>
  <si>
    <t>Emmanuel College</t>
  </si>
  <si>
    <t>http://www.emmanuel.edu/discover-emmanuel/emmanuel-facts/institutional-research/reports-data.html</t>
  </si>
  <si>
    <t>Endicott College</t>
  </si>
  <si>
    <t>Beverly</t>
  </si>
  <si>
    <t>Master’s university</t>
  </si>
  <si>
    <t>f14, this includes a great number of internships, which maybe shouldn't be counted as they are &lt; 3 hours,  if ignored the percent is 35</t>
  </si>
  <si>
    <t>http://www.endicott.edu/~/media/Endicott/shared/pdf-documents/EndicottFactsFiguresFall2014_Final%20with%20Edits.pdf</t>
  </si>
  <si>
    <t>Fisher College</t>
  </si>
  <si>
    <t>Fitchburg State University</t>
  </si>
  <si>
    <t>Fitchburg</t>
  </si>
  <si>
    <t>Framingham State University</t>
  </si>
  <si>
    <t>Framingham</t>
  </si>
  <si>
    <t>https://www.framingham.edu/office-of-institutional-research/documents/05cohort-grad-rates-and-retention-rates.pdf</t>
  </si>
  <si>
    <t>Gordon College</t>
  </si>
  <si>
    <t>Wenham</t>
  </si>
  <si>
    <t>http://www.gordon.edu/page.cfm?iPageID=3478&amp;iCategoryID=33&amp;Academics&amp;Report_for_September_2011</t>
  </si>
  <si>
    <t>Hampshire College</t>
  </si>
  <si>
    <t>F12</t>
  </si>
  <si>
    <t>F11</t>
  </si>
  <si>
    <t>Harvard University</t>
  </si>
  <si>
    <t>http://collegeapps.about.com/od/collegeprofiles/p/harvard_profile.htm</t>
  </si>
  <si>
    <t>Lasell College</t>
  </si>
  <si>
    <t>Newton</t>
  </si>
  <si>
    <t>http://www.lasell.edu/discover-lasell/facts-figures-and-faces/our-institution.html</t>
  </si>
  <si>
    <t>Lesley University</t>
  </si>
  <si>
    <t>Massachusetts College of Liberal Arts</t>
  </si>
  <si>
    <t>North Adams</t>
  </si>
  <si>
    <t>http://www.mcla.edu/Assets/MCLA-Files/Academics/IRAP/2013-14_MCLA_Data_Highlights.pdf</t>
  </si>
  <si>
    <t>Massachusetts Institute of Technology</t>
  </si>
  <si>
    <t>s14</t>
  </si>
  <si>
    <t>http://collegeapps.about.com/od/collegeprofiles/p/MIT_Profile.htm</t>
  </si>
  <si>
    <t>Massachusetts Maritime Academy</t>
  </si>
  <si>
    <t>Bourne</t>
  </si>
  <si>
    <t>Merrimack College</t>
  </si>
  <si>
    <t>North Andover</t>
  </si>
  <si>
    <t>MGH Institute of Health Professions</t>
  </si>
  <si>
    <t>Mount Holyoke College</t>
  </si>
  <si>
    <t>South Hadley</t>
  </si>
  <si>
    <t>Mount Ida College</t>
  </si>
  <si>
    <t>http://www.mountida.edu/about-us/office-of-institutional-research-2/current-statistics/</t>
  </si>
  <si>
    <t>Newbury College</t>
  </si>
  <si>
    <t>Brookline</t>
  </si>
  <si>
    <t>s15</t>
  </si>
  <si>
    <t>http://www.newbury.edu/default.aspx?RelID=606476&amp;issearch=retention%20rate#item607192</t>
  </si>
  <si>
    <t>Northeastern University</t>
  </si>
  <si>
    <t>Olin college of engineeering</t>
  </si>
  <si>
    <t>needham</t>
  </si>
  <si>
    <t>http://collegeapps.about.com/od/collegeprofiles/p/olin_profile.htm</t>
  </si>
  <si>
    <t>Pine Manor College</t>
  </si>
  <si>
    <t>Regis College</t>
  </si>
  <si>
    <t>Weston</t>
  </si>
  <si>
    <t>Salem State University</t>
  </si>
  <si>
    <t>Salem</t>
  </si>
  <si>
    <t>Simmons College</t>
  </si>
  <si>
    <t>f14?</t>
  </si>
  <si>
    <t>Smith College</t>
  </si>
  <si>
    <t>Northampton</t>
  </si>
  <si>
    <t>http://collegeapps.about.com/od/collegeprofiles/p/smith_college.htm</t>
  </si>
  <si>
    <t>Springfield College</t>
  </si>
  <si>
    <t>Stonehill College</t>
  </si>
  <si>
    <t>Easton</t>
  </si>
  <si>
    <t>http://www.stonehill.edu/files/resources/fb_2013-14_47-48-sb-grad-rates-by-gender-ethnicity.pdf, http://www.stonehill.edu/news-media/news/details/us-news-ranks-stonehill-in-top-100/</t>
  </si>
  <si>
    <t>Suffolk University</t>
  </si>
  <si>
    <t>http://www.suffolk.edu/documents/IRA/06_12freshmen_retention_and_grad.pdf</t>
  </si>
  <si>
    <t>Tufts University</t>
  </si>
  <si>
    <t>Medford</t>
  </si>
  <si>
    <t>http://collegeapps.about.com/od/collegeprofiles/p/tufts.htm</t>
  </si>
  <si>
    <t>University of Massachusetts Amherst</t>
  </si>
  <si>
    <t>f12</t>
  </si>
  <si>
    <t>University of Massachusetts Boston</t>
  </si>
  <si>
    <t>http://www.umb.edu/oirp/retention_graduation</t>
  </si>
  <si>
    <t>University of Massachusetts Dartmouth</t>
  </si>
  <si>
    <t>Dartmouth</t>
  </si>
  <si>
    <t>University of Massachusetts Lowell</t>
  </si>
  <si>
    <t>Lowell</t>
  </si>
  <si>
    <t>Wellesley College</t>
  </si>
  <si>
    <t>Wellesley</t>
  </si>
  <si>
    <t>http://collegeapps.about.com/od/collegeprofiles/p/Wellesley_prfl.htm</t>
  </si>
  <si>
    <t>Western New England University</t>
  </si>
  <si>
    <t>Westfield State University</t>
  </si>
  <si>
    <t>Westfield</t>
  </si>
  <si>
    <t>Wheaton College</t>
  </si>
  <si>
    <t>Norton</t>
  </si>
  <si>
    <t>http://wheatoncollege.edu/policies/graduationrates/</t>
  </si>
  <si>
    <t>Wheelock College</t>
  </si>
  <si>
    <t>Master's</t>
  </si>
  <si>
    <t>http://www.wheelock.edu/about/at-a-glance</t>
  </si>
  <si>
    <t>Williams College</t>
  </si>
  <si>
    <t>Williamstown</t>
  </si>
  <si>
    <t>http://admission.williams.edu/files/Williams-College-2017-Profile.pdf</t>
  </si>
  <si>
    <t>Worcester Polytechnic Institute</t>
  </si>
  <si>
    <t>http://www.wpi.edu/Images/CMS/IRO/Fall_Enrollment_2013-14.pdf</t>
  </si>
  <si>
    <t>Worcester State University</t>
  </si>
  <si>
    <t>Brown University</t>
  </si>
  <si>
    <t>Providence</t>
  </si>
  <si>
    <t>RI</t>
  </si>
  <si>
    <t>http://nces.ed.gov/collegenavigator/?q=brown+university&amp;s=all&amp;id=217156#retgrad</t>
  </si>
  <si>
    <t>Bryant University</t>
  </si>
  <si>
    <t>Smithfield</t>
  </si>
  <si>
    <t>Masters university</t>
  </si>
  <si>
    <t>Johnson &amp; Wales University</t>
  </si>
  <si>
    <t>Naval War College</t>
  </si>
  <si>
    <t>Newport</t>
  </si>
  <si>
    <t>Public (Federal)</t>
  </si>
  <si>
    <t>Providence College</t>
  </si>
  <si>
    <t>Private (Catholic)</t>
  </si>
  <si>
    <t>http://www.providence.edu/academic-affairs/assessment/Pages/heoa-disclosures.aspx</t>
  </si>
  <si>
    <t>Rhode Island College</t>
  </si>
  <si>
    <t>Roger Williams University</t>
  </si>
  <si>
    <t>Bristol</t>
  </si>
  <si>
    <t>http://www.rwu.edu/about/who-we-are/fast-facts</t>
  </si>
  <si>
    <t>Salve Regina University</t>
  </si>
  <si>
    <t>http://www.salve.edu/sites/default/files/filesfield/documents/GradRetentionRate.pdf</t>
  </si>
  <si>
    <t>University of Rhode Island</t>
  </si>
  <si>
    <t>Kingston (South Kingstown)</t>
  </si>
  <si>
    <t>http://web.uri.edu/ir/files/2003-2013-retention-and-graduation-rates.pdf</t>
  </si>
  <si>
    <t>Eastern Connecticut State University – Willimantic</t>
  </si>
  <si>
    <t>CN</t>
  </si>
  <si>
    <t>http://nutmeg.easternct.edu/universityrelations/NewsflashPDF/September2010.pdf</t>
  </si>
  <si>
    <t>Central Connecticut State University – New Britain</t>
  </si>
  <si>
    <t>http://www.ccsu.edu/index/search.html?q=retention+rate</t>
  </si>
  <si>
    <t>Southern Connecticut State University – New Haven</t>
  </si>
  <si>
    <t>http://www.southernct.edu/studentsuccess/Research1%20Student%20Success%20Report%20-%20Answers%20to%20Questions.pdf,  http://www.southernct.edu/studentsuccess/Pre-Campus3%20Appendix%20INQ%20101%20Data%20Report.pdf</t>
  </si>
  <si>
    <t>Western Connecticut State University – Danbury</t>
  </si>
  <si>
    <t>http://www.wcsu.edu/academics/consumer.asp</t>
  </si>
  <si>
    <t xml:space="preserve">University of Connecticut – Storrs; </t>
  </si>
  <si>
    <t>s13</t>
  </si>
  <si>
    <t>http://www.oir.uconn.edu/Retention_Graduation_November_2013_Campus.pdf</t>
  </si>
  <si>
    <t>Albertus Magnus College – New Haven</t>
  </si>
  <si>
    <t>catholic</t>
  </si>
  <si>
    <t>University of Bridgeport – Bridgeport</t>
  </si>
  <si>
    <t>Connecticut College - New London</t>
  </si>
  <si>
    <t>http://www.conncoll.edu/admission/faq/academics/        https://www.conncoll.edu/media/website-media/about/aboutconndocs/Connecticut-College-Graduation-Rates-by-Gender-and-Race-2004-05-06-cohorts-.pdf</t>
  </si>
  <si>
    <t>Fairfield University – Fairfield</t>
  </si>
  <si>
    <t>http://www.fairfield.edu/media/fairfielduniversitywebsite/documents/about/ir_cds13-14_dataset_b.pdf</t>
  </si>
  <si>
    <t>University of Hartford – West Hartford</t>
  </si>
  <si>
    <t>http://www.hartford.edu/aboutuofh/office-institutional-effectiveness/files/pdf/2014-2015%20Factbook/FactBookFall2014.pdf</t>
  </si>
  <si>
    <t>University of New Haven – West Haven</t>
  </si>
  <si>
    <t>http://www.newhaven.edu/774072.pdf</t>
  </si>
  <si>
    <t>Quinnipiac University – Hamden</t>
  </si>
  <si>
    <t>http://www.quinnipiac.edu/prebuilt/pdf/academics/6YearGraduationRate_0312.pdf</t>
  </si>
  <si>
    <t>Sacred Heart University – Fairfield</t>
  </si>
  <si>
    <t>too hard to develop</t>
  </si>
  <si>
    <t>https://webadvisor.sacredheart.edu/WebAdvisor/WebAdvisor?TOKENIDX=7638014473&amp;type=M&amp;constituency=WBAP&amp;pid=CORE-WBAP</t>
  </si>
  <si>
    <t>http://nces.ed.gov/COLLEGENAVIGATOR/?s=CT&amp;pg=5&amp;id=130253#retgrad</t>
  </si>
  <si>
    <t>University of Saint Joseph – West Hartford</t>
  </si>
  <si>
    <t>http://www.usj.edu/academics/registrar/course-schedules/</t>
  </si>
  <si>
    <t>http://www.usj.edu/about-us/student-consumer-information/</t>
  </si>
  <si>
    <t>Trinity College - Hartford</t>
  </si>
  <si>
    <t>http://www.trincoll.edu/AboutTrinity/offices/InstitutionalResearchPlanning/Documents/CDS2012-2013.pdf</t>
  </si>
  <si>
    <t>Wesleyan University – Middletown</t>
  </si>
  <si>
    <t>http://www.wesleyan.edu/ir/graduation-retention.html</t>
  </si>
  <si>
    <t>Yale University – New Haven</t>
  </si>
  <si>
    <t>http://oir.yale.edu/sites/default/files/2013_Freshmen_Retention.pdf</t>
  </si>
  <si>
    <t>Bates College</t>
  </si>
  <si>
    <t>Lewiston</t>
  </si>
  <si>
    <t>Liberal arts college</t>
  </si>
  <si>
    <t>ME</t>
  </si>
  <si>
    <t>http://www.bates.edu/garnet-gateway/</t>
  </si>
  <si>
    <t>http://www.bates.edu/research/files/2010/04/bates.facts_.12.13.pdf</t>
  </si>
  <si>
    <t>Bowdoin College</t>
  </si>
  <si>
    <t>Brunswick</t>
  </si>
  <si>
    <t>http://www.bowdoin.edu/ir/data/retention.shtml</t>
  </si>
  <si>
    <t>Colby College</t>
  </si>
  <si>
    <t>Waterville</t>
  </si>
  <si>
    <t>https://www.colby.edu/administration_cs/ir/factbook2006/upload/graduationrates.pdf</t>
  </si>
  <si>
    <t>Maine Maritime Academy</t>
  </si>
  <si>
    <t>Castine</t>
  </si>
  <si>
    <t>Saint Joseph's College of Maine</t>
  </si>
  <si>
    <t>Standish</t>
  </si>
  <si>
    <t>http://www.sjcme.edu/admissions/faqs</t>
  </si>
  <si>
    <t>(Catholic)</t>
  </si>
  <si>
    <t>Thomas College</t>
  </si>
  <si>
    <t>http://www.thomas.edu/explore-about-thomas/fast-facts/</t>
  </si>
  <si>
    <t>Unity College</t>
  </si>
  <si>
    <t>Unity</t>
  </si>
  <si>
    <t>http://www.unity.edu/about-unity/administration/institutional-research, http://www.unity.edu/academics/academic-resouces/registrar/student-right-to-know</t>
  </si>
  <si>
    <t>University of Maine</t>
  </si>
  <si>
    <t>Orono</t>
  </si>
  <si>
    <t>http://umaine.edu/oir/files/2012/09/0413_rateTOTAL.pdf</t>
  </si>
  <si>
    <t>University of Maine at Augusta</t>
  </si>
  <si>
    <t>Augusta</t>
  </si>
  <si>
    <t>https://peportal.maine.edu/psp/PAPRD89/EMPLOYEE/EMPL/h/?tab=PAPP_GUEST</t>
  </si>
  <si>
    <t>http://www.uma.edu/studentconsumerinfo.html</t>
  </si>
  <si>
    <t>University of Maine at Farmington</t>
  </si>
  <si>
    <t>Farmington</t>
  </si>
  <si>
    <t>http://www.umf.maine.edu/search/?cx=016829772453122232068%3A6ygwspl4b-g&amp;cof=FORID%3A11%3BNB%3A1&amp;ie=UTF-8&amp;q=registrar&amp;sa=Search&amp;siteurl=umf.maine.edu%2Fsearch&amp;ref=&amp;ss=</t>
  </si>
  <si>
    <t>http://www.umf.maine.edu/about/umf-facts/</t>
  </si>
  <si>
    <t>University of Maine at Fort Kent</t>
  </si>
  <si>
    <t>Fort Kent</t>
  </si>
  <si>
    <t>https://peportal.maine.edu/psp/PAPRD89_1/EMPLOYEE/CSPRDST/c/COMMUNITY_ACCESS.CLASS_SEARCH.GBL?dflt_inst=UMS03&amp;open_only=Y</t>
  </si>
  <si>
    <t>https://mycampus.maine.edu/c/document_library/get_file?p_l_id=2302886&amp;folderId=1572572&amp;name=DLFE-15105.pdf</t>
  </si>
  <si>
    <t>University of Maine at Machias</t>
  </si>
  <si>
    <t>Machias</t>
  </si>
  <si>
    <t>https://peportal.maine.edu/psp/PAPRD89_1/EMPLOYEE/CSPRDST/c/COMMUNITY_ACCESS.CLASS_SEARCH.GBL?PORTALPARAM_PTCNAV=UM_CLASS_SRCH1&amp;EOPP.SCNode=EMPL&amp;EOPP.SCPortal=EMPLOYEE&amp;EOPP.SCName=ADMN_UM_CLASS_SRCH_QCKLINLS&amp;EOPP.SCLabel=UM_CLASS_SRCH_QCKLINLS&amp;EOPP.SCPTcname=&amp;FolderPath=PORTAL_ROOT_OBJECT.PORTAL_BASE_DATA.CO_NAVIGATION_COLLECTIONS.ADMN_UM_CLASS_SRCH_QCKLINLS.ADMN_S200902191539246342356639&amp;IsFolder=false&amp;dflt_inst=UMS04&amp;&amp;acad_career=UGRD&amp;term=15200</t>
  </si>
  <si>
    <t>https://machias.edu/assets/files/CDS/CDS_2011-2012.pdf</t>
  </si>
  <si>
    <t>University of Maine at Presque Isle</t>
  </si>
  <si>
    <t>Presque Isle</t>
  </si>
  <si>
    <t>http://www.umpi.edu/static/neasc/response-to-final-report.pdf  average of two most recent</t>
  </si>
  <si>
    <t>University of New England</t>
  </si>
  <si>
    <t>Biddeford and Portland</t>
  </si>
  <si>
    <t>http://www.une.edu/oira</t>
  </si>
  <si>
    <t>University of Southern Maine</t>
  </si>
  <si>
    <t>Gorham and Portland</t>
  </si>
  <si>
    <t>http://usm.maine.edu/sites/default/files/finance/Fall%202011%20Student%20Retention.pdf    http://usm.maine.edu/sites/default/files/oir/IPEDS_Graduation_Rates_200_Data_2012-2013.pdf</t>
  </si>
  <si>
    <t>Antioch University New England</t>
  </si>
  <si>
    <t>Keene</t>
  </si>
  <si>
    <t>Doctoral/research university</t>
  </si>
  <si>
    <t>NH</t>
  </si>
  <si>
    <t>Colby-Sawyer College</t>
  </si>
  <si>
    <t>New London</t>
  </si>
  <si>
    <t>Daniel Webster College</t>
  </si>
  <si>
    <t>Nashua</t>
  </si>
  <si>
    <t>(for-profit)</t>
  </si>
  <si>
    <t>https://soar.dwc.edu/cafeweb/CourseListing?handler=public&amp;reset=true</t>
  </si>
  <si>
    <t>http://nces.ed.gov/collegenavigator/?q=daniel+webster+college&amp;s=all&amp;id=182661#retgrad</t>
  </si>
  <si>
    <t>Dartmouth College</t>
  </si>
  <si>
    <t>Hanover</t>
  </si>
  <si>
    <t>http://www.dartmouth.edu/~oir/pdfs/fact_card_fall_2013_updated.pdf</t>
  </si>
  <si>
    <t>Franklin Pierce University</t>
  </si>
  <si>
    <t>Rindge</t>
  </si>
  <si>
    <t>na</t>
  </si>
  <si>
    <t>http://www.franklinpierce.edu/about/facts.htm</t>
  </si>
  <si>
    <t>Granite State College</t>
  </si>
  <si>
    <t>Concord</t>
  </si>
  <si>
    <t>??</t>
  </si>
  <si>
    <t>http://www.granite.edu/about/facts.php</t>
  </si>
  <si>
    <t>Keene State College</t>
  </si>
  <si>
    <t>http://www.keene.edu/ksc/assets/files/10346/factbook2014.pdf</t>
  </si>
  <si>
    <t>Mount Washington College</t>
  </si>
  <si>
    <t>Manchester</t>
  </si>
  <si>
    <t>New England College</t>
  </si>
  <si>
    <r>
      <t>Henniker and Online</t>
    </r>
    <r>
      <rPr>
        <vertAlign val="superscript"/>
        <sz val="11"/>
        <color theme="1"/>
        <rFont val="Calibri"/>
        <family val="2"/>
        <scheme val="minor"/>
      </rPr>
      <t>[20]</t>
    </r>
  </si>
  <si>
    <t>4 yr</t>
  </si>
  <si>
    <t>http://www.nec.edu/life/facts-figures/</t>
  </si>
  <si>
    <t>Plymouth State University</t>
  </si>
  <si>
    <t>Plymouth</t>
  </si>
  <si>
    <t>https://www.plymouth.edu/office/institutional-research/files/2014/03/FactBook-Summary2013.pdf</t>
  </si>
  <si>
    <t>Rivier University</t>
  </si>
  <si>
    <t>Saint Anselm College</t>
  </si>
  <si>
    <t>Goffstown</t>
  </si>
  <si>
    <t>http://www.anselm.edu/Faculty-and-Staff/Leadership-and-Initiatives/Institutional-Research/Facts-and-Figures/Retention-and-Graduation-Rates.htm</t>
  </si>
  <si>
    <t>Southern New Hampshire University</t>
  </si>
  <si>
    <t>http://www.snhu.edu/files/pdfs/Common_Data_Set_Metrics_2013-2014.pdf</t>
  </si>
  <si>
    <t>The College of Saint Mary Magdalen</t>
  </si>
  <si>
    <t>Warner</t>
  </si>
  <si>
    <t>Thomas More College of Liberal Arts</t>
  </si>
  <si>
    <t>Merrimack</t>
  </si>
  <si>
    <t>University of New Hampshire</t>
  </si>
  <si>
    <t>Durham</t>
  </si>
  <si>
    <t>http://unh.edu/institutional-research/sites/unh.edu.institutional-research/files/unh%20retention%20and%20grad.pdf</t>
  </si>
  <si>
    <t>University of New Hampshire at Manchester</t>
  </si>
  <si>
    <t>Bennington College</t>
  </si>
  <si>
    <t>Bennington</t>
  </si>
  <si>
    <t>VT</t>
  </si>
  <si>
    <t>Burlington College</t>
  </si>
  <si>
    <t>Burlington</t>
  </si>
  <si>
    <t>Castleton State College</t>
  </si>
  <si>
    <t>Castleton</t>
  </si>
  <si>
    <t>https://webservices.vsc.edu/WebServices/WebServices?TOKENIDX=1729101346&amp;SS=2&amp;APP=ST&amp;CONSTITUENCY=WBAP</t>
  </si>
  <si>
    <t>http://s3.amazonaws.com/castleton/files/resources/common-data-set.pdf#page=5</t>
  </si>
  <si>
    <t>Champlain College</t>
  </si>
  <si>
    <t>College of St. Joseph</t>
  </si>
  <si>
    <t>Rutland</t>
  </si>
  <si>
    <t>http://www.csj.edu/wp-content/uploads/2012/10/Spring-2015-Undergraduate-Course-Schedule-with-Course-Descriptions.pdf</t>
  </si>
  <si>
    <t>http://www.csj.edu/search/retention+rate#.VMVV_C69g74  varies widely from past</t>
  </si>
  <si>
    <t>Goddard College</t>
  </si>
  <si>
    <t>Plainfield</t>
  </si>
  <si>
    <t>http://www.goddard.edu/policies/consumer-information</t>
  </si>
  <si>
    <t>Green Mountain College</t>
  </si>
  <si>
    <t>Poultney</t>
  </si>
  <si>
    <t>http://www.greenmtn.edu/why_gmc/success.aspx</t>
  </si>
  <si>
    <t>(Methodist)</t>
  </si>
  <si>
    <t>Johnson State College</t>
  </si>
  <si>
    <t>Johnson</t>
  </si>
  <si>
    <t>Lyndon State College</t>
  </si>
  <si>
    <t>Lyndonville</t>
  </si>
  <si>
    <t>http://lyndonstate.edu/about/overview/fast-facts/</t>
  </si>
  <si>
    <t>Marlboro College</t>
  </si>
  <si>
    <t>Marlboro</t>
  </si>
  <si>
    <t>235[9]</t>
  </si>
  <si>
    <t>Middlebury College</t>
  </si>
  <si>
    <t>Middlebury</t>
  </si>
  <si>
    <t>http://www.middlebury.edu/media/view/440590/original/middlebury_college_cds_2012-2013.pdf</t>
  </si>
  <si>
    <t>Norwich University</t>
  </si>
  <si>
    <t>Northfield</t>
  </si>
  <si>
    <t>https://ssb.norwich.edu/bear/nu_courselist.p_nu_crslist?p_termcode=201510&amp;p_ptrmcode=1</t>
  </si>
  <si>
    <t>http://about.norwich.edu/student-consumer-information/student-outcomes/</t>
  </si>
  <si>
    <t>Saint Michael's College</t>
  </si>
  <si>
    <t>Colchester</t>
  </si>
  <si>
    <t>http://www.smcvt.edu/Academics/Registrar-and-Catalog/Registration/Class-Schedules.aspx</t>
  </si>
  <si>
    <t>http://www.smcvt.edu/~/media/Files/Offices/InstitutionalResearch/CDS_2014-2015.pdf</t>
  </si>
  <si>
    <t>Southern Vermont College</t>
  </si>
  <si>
    <t>Sterling College</t>
  </si>
  <si>
    <t>Craftsbury Common</t>
  </si>
  <si>
    <t>University of Vermont</t>
  </si>
  <si>
    <t>http://sis.rutgers.edu/soc/</t>
  </si>
  <si>
    <t>http://www.uvm.edu/~oir/?Page=grad_rates.html&amp;SM=submenu_ret_grad_deg.html</t>
  </si>
  <si>
    <t xml:space="preserve">CUNY Senior Colleges </t>
  </si>
  <si>
    <t>NY</t>
  </si>
  <si>
    <t>Baruch College</t>
  </si>
  <si>
    <t>http://www2.mcdaniel.edu/Bus_Econ/clayco/4daymcd/state014/NYC/cuny.html</t>
  </si>
  <si>
    <t>Brooklyn College</t>
  </si>
  <si>
    <t>City College</t>
  </si>
  <si>
    <t>College of Staten Island</t>
  </si>
  <si>
    <t>Hunter College</t>
  </si>
  <si>
    <t>John Jay College of Criminal Justice</t>
  </si>
  <si>
    <t>Lehman College</t>
  </si>
  <si>
    <t>Medgar Evers College</t>
  </si>
  <si>
    <t>New York City College of Technology</t>
  </si>
  <si>
    <t>https://home.cunyfirst.cuny.edu/psp/cnyepprd/GUEST/HRMS/c/COMMUNITY_ACCESS.CLASS_SEARCH.GBL</t>
  </si>
  <si>
    <t>Sophie Davis School of Biomedical Education</t>
  </si>
  <si>
    <t>Queens College</t>
  </si>
  <si>
    <t>York College</t>
  </si>
  <si>
    <t>Stony Brook University</t>
  </si>
  <si>
    <t>Federal service academies</t>
  </si>
  <si>
    <t>United States Merchant Marine Academy (Kings Point)</t>
  </si>
  <si>
    <t>United States Military Academy (West Point)</t>
  </si>
  <si>
    <t>Private colleges and universities</t>
  </si>
  <si>
    <t>Adelphi University</t>
  </si>
  <si>
    <t>Albany College of Pharmacy and Health Sciences</t>
  </si>
  <si>
    <t>Alfred University</t>
  </si>
  <si>
    <t>Bard College</t>
  </si>
  <si>
    <t>Barnard College</t>
  </si>
  <si>
    <t>Berkeley College</t>
  </si>
  <si>
    <t>Canisius College</t>
  </si>
  <si>
    <t>Cazenovia College</t>
  </si>
  <si>
    <t>Clarkson University</t>
  </si>
  <si>
    <t>Colgate University</t>
  </si>
  <si>
    <t>College of Mount St. Vincent</t>
  </si>
  <si>
    <t>College of New Rochelle</t>
  </si>
  <si>
    <t>College of St. Rose</t>
  </si>
  <si>
    <t>Columbia University</t>
  </si>
  <si>
    <t>Concordia College</t>
  </si>
  <si>
    <t>Cooper Union</t>
  </si>
  <si>
    <t>Cornell University</t>
  </si>
  <si>
    <t>D'Youville College</t>
  </si>
  <si>
    <t>Daemen College</t>
  </si>
  <si>
    <t>Davis College</t>
  </si>
  <si>
    <t>Dominican College</t>
  </si>
  <si>
    <t>Dowling College</t>
  </si>
  <si>
    <t>Elmira College</t>
  </si>
  <si>
    <t>Five Towns College</t>
  </si>
  <si>
    <t>music</t>
  </si>
  <si>
    <t>Fordham University</t>
  </si>
  <si>
    <t>Hamilton College</t>
  </si>
  <si>
    <t>Hartwick College</t>
  </si>
  <si>
    <t>Hilbert College</t>
  </si>
  <si>
    <t>Hobart and William Smith Colleges</t>
  </si>
  <si>
    <t>Hofstra University</t>
  </si>
  <si>
    <t>a lot contact</t>
  </si>
  <si>
    <t>Houghton College</t>
  </si>
  <si>
    <t>Iona College</t>
  </si>
  <si>
    <t>Ithaca College</t>
  </si>
  <si>
    <t>Juilliard School</t>
  </si>
  <si>
    <t>Keuka College</t>
  </si>
  <si>
    <t>King's College</t>
  </si>
  <si>
    <t>Le Moyne College</t>
  </si>
  <si>
    <t>LIM College (Laboratory Institute of Merchandising)</t>
  </si>
  <si>
    <t>Long Island University</t>
  </si>
  <si>
    <t>Manhattan College</t>
  </si>
  <si>
    <t>Manhattan School of Music</t>
  </si>
  <si>
    <t>Manhattanville College</t>
  </si>
  <si>
    <t>Marist College</t>
  </si>
  <si>
    <t>Marymount Manhattan College</t>
  </si>
  <si>
    <t>Medaille College</t>
  </si>
  <si>
    <t>Mercy College (New York)</t>
  </si>
  <si>
    <t>Metropolitan College of New York</t>
  </si>
  <si>
    <t>Molloy College</t>
  </si>
  <si>
    <t>Mount Saint Mary College</t>
  </si>
  <si>
    <t>classes all at night</t>
  </si>
  <si>
    <t>Nazareth College</t>
  </si>
  <si>
    <t>New School</t>
  </si>
  <si>
    <t>art school,&amp; schedule na</t>
  </si>
  <si>
    <t>New York Institute of Technology</t>
  </si>
  <si>
    <t>New York University</t>
  </si>
  <si>
    <t>huge job</t>
  </si>
  <si>
    <t xml:space="preserve">  </t>
  </si>
  <si>
    <t>Polytechnic Institute of New York University</t>
  </si>
  <si>
    <t>uses same as NYU</t>
  </si>
  <si>
    <t>Niagara University</t>
  </si>
  <si>
    <t>Nyack College</t>
  </si>
  <si>
    <t>need password</t>
  </si>
  <si>
    <t>Pace University</t>
  </si>
  <si>
    <t>Paul Smith's College</t>
  </si>
  <si>
    <t>Pratt Institute</t>
  </si>
  <si>
    <t>art school</t>
  </si>
  <si>
    <t>Rensselaer Polytechnic Institute</t>
  </si>
  <si>
    <t>Roberts Wesleyan College</t>
  </si>
  <si>
    <t>Rochester Institute of Technology</t>
  </si>
  <si>
    <t>Russell Sage College</t>
  </si>
  <si>
    <t>Sarah Lawrence College</t>
  </si>
  <si>
    <t>Siena College</t>
  </si>
  <si>
    <t>Skidmore College</t>
  </si>
  <si>
    <t>St. Bonaventure University</t>
  </si>
  <si>
    <t>St. Francis College</t>
  </si>
  <si>
    <t>St. John Fisher College</t>
  </si>
  <si>
    <t>St. John's University</t>
  </si>
  <si>
    <t>f15</t>
  </si>
  <si>
    <t>St. Joseph's College</t>
  </si>
  <si>
    <t>St. Lawrence University</t>
  </si>
  <si>
    <t>St. Thomas Aquinas College</t>
  </si>
  <si>
    <t>Syracuse University</t>
  </si>
  <si>
    <t>The Sage Colleges</t>
  </si>
  <si>
    <t>University of Rochester</t>
  </si>
  <si>
    <t>s15, f15</t>
  </si>
  <si>
    <t>Union College</t>
  </si>
  <si>
    <t>Utica College</t>
  </si>
  <si>
    <t>Vassar College</t>
  </si>
  <si>
    <t>Vaughn College of Aeronautics and Technology</t>
  </si>
  <si>
    <t>Villa Maria College</t>
  </si>
  <si>
    <t>Wagner College</t>
  </si>
  <si>
    <t>Wells College</t>
  </si>
  <si>
    <t>Yeshiva University</t>
  </si>
  <si>
    <t>s15, fridays seem reserved for lectures, could check</t>
  </si>
  <si>
    <t>SUNY University Centers</t>
  </si>
  <si>
    <t>Binghamton University</t>
  </si>
  <si>
    <t>University at Albany, State University of New York</t>
  </si>
  <si>
    <t>University at Buffalo, The State University of New York</t>
  </si>
  <si>
    <t>SUNY Statutory Colleges</t>
  </si>
  <si>
    <t>At Alfred University</t>
  </si>
  <si>
    <t>New York State College of Ceramics</t>
  </si>
  <si>
    <t>At Cornell University</t>
  </si>
  <si>
    <t>New York State College of Agriculture and Life Sciences</t>
  </si>
  <si>
    <t>New York State College of Human Ecology</t>
  </si>
  <si>
    <t>New York State College of Veterinary Medicine</t>
  </si>
  <si>
    <t>New York State School of Industrial and Labor Relations</t>
  </si>
  <si>
    <t>SUNY Technology Colleges</t>
  </si>
  <si>
    <t>Alfred State College</t>
  </si>
  <si>
    <t>State University of New York at Canton</t>
  </si>
  <si>
    <t>State University of New York at Cobleskill</t>
  </si>
  <si>
    <t>at delhi</t>
  </si>
  <si>
    <t>State University of New York at Farmingdale</t>
  </si>
  <si>
    <t>State University of New York at Morrisville</t>
  </si>
  <si>
    <t>State University of New York Institute of Technology</t>
  </si>
  <si>
    <t>State University of New York Maritime College</t>
  </si>
  <si>
    <t>SUNY University Colleges</t>
  </si>
  <si>
    <t>Buffalo State College</t>
  </si>
  <si>
    <t>Empire State College</t>
  </si>
  <si>
    <t>must require student id , not even registrar's office online</t>
  </si>
  <si>
    <t>State University of New York at Brockport</t>
  </si>
  <si>
    <t>State University of New York at Cortland</t>
  </si>
  <si>
    <t>State University of New York at Fredonia</t>
  </si>
  <si>
    <t>State University of New York at Geneseo</t>
  </si>
  <si>
    <t>ss is made but only after I realize that the days of the week don't show, it could be counted online, but the results couldn't be confirmed in a ss</t>
  </si>
  <si>
    <t>State University of New York at New Paltz</t>
  </si>
  <si>
    <t>State University of New York at Old Westbury</t>
  </si>
  <si>
    <t>State University of New York at Oneonta</t>
  </si>
  <si>
    <t>State University of New York at Oswego</t>
  </si>
  <si>
    <t>State University of New York at Plattsburgh</t>
  </si>
  <si>
    <t>S15</t>
  </si>
  <si>
    <t>State University of New York at Potsdam</t>
  </si>
  <si>
    <t>State University of New York at Purchase</t>
  </si>
  <si>
    <t>Kean University</t>
  </si>
  <si>
    <t>Union, Hillside</t>
  </si>
  <si>
    <t>NJ</t>
  </si>
  <si>
    <t>Montclair State University</t>
  </si>
  <si>
    <t>Montclair</t>
  </si>
  <si>
    <t>New Jersey City University</t>
  </si>
  <si>
    <t>Jersey City</t>
  </si>
  <si>
    <t>New Jersey Institute of Technology</t>
  </si>
  <si>
    <t>Newark</t>
  </si>
  <si>
    <t>Ramapo College</t>
  </si>
  <si>
    <t>Mahwah</t>
  </si>
  <si>
    <t>Stockton University</t>
  </si>
  <si>
    <t>Galloway</t>
  </si>
  <si>
    <t>Rowan University</t>
  </si>
  <si>
    <t>Glassboro, Camden</t>
  </si>
  <si>
    <r>
      <t>Rutgers, The State University of New Jersey</t>
    </r>
    <r>
      <rPr>
        <vertAlign val="superscript"/>
        <sz val="11"/>
        <color theme="1"/>
        <rFont val="Calibri"/>
        <family val="2"/>
        <scheme val="minor"/>
      </rPr>
      <t>[a]</t>
    </r>
  </si>
  <si>
    <t>New Brunswick and Piscataway, Camden, Newark</t>
  </si>
  <si>
    <t>The College of New Jersey</t>
  </si>
  <si>
    <t>Ewing Township</t>
  </si>
  <si>
    <t>Thomas Edison State College</t>
  </si>
  <si>
    <t>Trenton</t>
  </si>
  <si>
    <t>all adult college</t>
  </si>
  <si>
    <t>William Paterson University</t>
  </si>
  <si>
    <t>Wayne</t>
  </si>
  <si>
    <t>Bloomfield College</t>
  </si>
  <si>
    <t>Bloomfield</t>
  </si>
  <si>
    <t>Caldwell University</t>
  </si>
  <si>
    <t>Caldwell</t>
  </si>
  <si>
    <t>Centenary College</t>
  </si>
  <si>
    <t>Hackettstown</t>
  </si>
  <si>
    <t>College of Saint Elizabeth</t>
  </si>
  <si>
    <t>Morris Township / Florham Park</t>
  </si>
  <si>
    <t>Drew University</t>
  </si>
  <si>
    <t>Madison</t>
  </si>
  <si>
    <t>Fair leigh Dickinson University</t>
  </si>
  <si>
    <t>Madison/Florham Park, Teaneck/Hackensack</t>
  </si>
  <si>
    <t>Felician College</t>
  </si>
  <si>
    <t>Lodi/Rutherford</t>
  </si>
  <si>
    <t>Georgian Court University</t>
  </si>
  <si>
    <t>Lakewood Township</t>
  </si>
  <si>
    <t>Monmouth University</t>
  </si>
  <si>
    <t>West Long Branch</t>
  </si>
  <si>
    <t>Princeton University</t>
  </si>
  <si>
    <t>Princeton</t>
  </si>
  <si>
    <t>Rider University</t>
  </si>
  <si>
    <t>Lawrenceville (Lawrence Township)</t>
  </si>
  <si>
    <t>Saint Peter's University</t>
  </si>
  <si>
    <t>na, try again  http://www.saintpeters.edu/enrollment-services/records-and-registration/transcripts/</t>
  </si>
  <si>
    <t>Seton Hall University</t>
  </si>
  <si>
    <t>South Orange</t>
  </si>
  <si>
    <t>Stevens Institute of Technology</t>
  </si>
  <si>
    <t>Hoboken</t>
  </si>
  <si>
    <t>Albright College</t>
  </si>
  <si>
    <t>Reading (Berks County)</t>
  </si>
  <si>
    <t>United Methodist Church</t>
  </si>
  <si>
    <t>PA</t>
  </si>
  <si>
    <t>Allegheny College</t>
  </si>
  <si>
    <t>Meadville (Crawford County)</t>
  </si>
  <si>
    <t>Secular</t>
  </si>
  <si>
    <t>The American College</t>
  </si>
  <si>
    <t>Haverford Township (Delaware County)</t>
  </si>
  <si>
    <t>Bryn Athyn College</t>
  </si>
  <si>
    <t>Bryn Athyn (Montgomery County)</t>
  </si>
  <si>
    <t>The New Church</t>
  </si>
  <si>
    <t>Bucknell University</t>
  </si>
  <si>
    <t>East Buffalo Township (Union County)</t>
  </si>
  <si>
    <t>Cabrini College</t>
  </si>
  <si>
    <t>Radnor Township (Delaware County)</t>
  </si>
  <si>
    <t>Roman Catholic Church</t>
  </si>
  <si>
    <t>Cairn University</t>
  </si>
  <si>
    <t>Langhorne Manor (Bucks County)</t>
  </si>
  <si>
    <t>Nondenominational Christian</t>
  </si>
  <si>
    <t>Carlow University</t>
  </si>
  <si>
    <t>Pittsburgh (Allegheny County)</t>
  </si>
  <si>
    <t>Catholic</t>
  </si>
  <si>
    <t>Cedar Crest College</t>
  </si>
  <si>
    <t>Allentown (Lehigh County)</t>
  </si>
  <si>
    <t>Central Penn College</t>
  </si>
  <si>
    <t>Summerdale (Cumberland County)</t>
  </si>
  <si>
    <t>Chatham University</t>
  </si>
  <si>
    <t>Delaware Valley University</t>
  </si>
  <si>
    <t>Doylestown Township (Bucks County)</t>
  </si>
  <si>
    <t>DeSales University</t>
  </si>
  <si>
    <t>Upper Saucon Township (Lehigh County)</t>
  </si>
  <si>
    <t>Dickinson College</t>
  </si>
  <si>
    <t>Carlisle (Cumberland County)</t>
  </si>
  <si>
    <t>x10</t>
  </si>
  <si>
    <t>Elizabethtown College</t>
  </si>
  <si>
    <t>Elizabethtown (Lancaster County)</t>
  </si>
  <si>
    <t>Church of the Brethren</t>
  </si>
  <si>
    <t>Franklin &amp; Marshall College</t>
  </si>
  <si>
    <t>Lancaster (Lancaster County)</t>
  </si>
  <si>
    <t>Geneva College</t>
  </si>
  <si>
    <t>Beaver Falls (Beaver County)</t>
  </si>
  <si>
    <t>Reformed Presbyterian Church of North America</t>
  </si>
  <si>
    <t>Gettysburg College</t>
  </si>
  <si>
    <t>Gettysburg (Adams County)</t>
  </si>
  <si>
    <t>Evangelical Lutheran Church in America</t>
  </si>
  <si>
    <t>Grove City College</t>
  </si>
  <si>
    <t>Grove City (Mercer County)</t>
  </si>
  <si>
    <t>Presbyterian Church of the USA</t>
  </si>
  <si>
    <t>Gwynedd Mercy University</t>
  </si>
  <si>
    <t>Lower Gwynedd Township (Montgomery County)</t>
  </si>
  <si>
    <t>Harrisburg University of Science and Technology</t>
  </si>
  <si>
    <t>Dauphin County</t>
  </si>
  <si>
    <t>Haverford College</t>
  </si>
  <si>
    <t>x12</t>
  </si>
  <si>
    <t>Juniata College</t>
  </si>
  <si>
    <t>Huntingdon (Huntingdon County)</t>
  </si>
  <si>
    <t>Keystone College</t>
  </si>
  <si>
    <t>La Plume Township (Lackawanna County)</t>
  </si>
  <si>
    <t>King’s College</t>
  </si>
  <si>
    <t>Wilkes-Barre (Luzerne County)</t>
  </si>
  <si>
    <t>La Roche College</t>
  </si>
  <si>
    <t>McCandless Township (Allegheny County)</t>
  </si>
  <si>
    <t>Lafayette College</t>
  </si>
  <si>
    <t>Easton (Northampton County)</t>
  </si>
  <si>
    <t>Lebanon Valley College</t>
  </si>
  <si>
    <t>Annville (Lebanon County)</t>
  </si>
  <si>
    <t xml:space="preserve"> f15</t>
  </si>
  <si>
    <t>Lycoming College</t>
  </si>
  <si>
    <t>Williamsport (Lycoming County)</t>
  </si>
  <si>
    <t>Mercyhurst University</t>
  </si>
  <si>
    <t>Erie (Erie County)</t>
  </si>
  <si>
    <t>Messiah College</t>
  </si>
  <si>
    <t>Upper Allen Township (Cumberland County)</t>
  </si>
  <si>
    <t>Moravian College</t>
  </si>
  <si>
    <t>Bethlehem (Northampton County)</t>
  </si>
  <si>
    <t>Moravian Church in America</t>
  </si>
  <si>
    <t>Mount Aloysius College</t>
  </si>
  <si>
    <t>Cresson Township (Cambria County)</t>
  </si>
  <si>
    <t>Muhlenberg College</t>
  </si>
  <si>
    <t>Peirce College</t>
  </si>
  <si>
    <t>Philadelphia</t>
  </si>
  <si>
    <t>100?</t>
  </si>
  <si>
    <t>Point Park University</t>
  </si>
  <si>
    <t>Rosemont College</t>
  </si>
  <si>
    <t>Lower Merion Township (Montgomery County)</t>
  </si>
  <si>
    <t>Saint Vincent College</t>
  </si>
  <si>
    <t>Unity Township (Westmoreand County)</t>
  </si>
  <si>
    <t>f10</t>
  </si>
  <si>
    <t>Seton Hill University</t>
  </si>
  <si>
    <t>Greensburg (Westmoreland County)</t>
  </si>
  <si>
    <t>Susquehanna University</t>
  </si>
  <si>
    <t>Selinsgrove (Snyder County)</t>
  </si>
  <si>
    <t>Swarthmore College</t>
  </si>
  <si>
    <t>Swarthmore (Delaware County)</t>
  </si>
  <si>
    <t>Thiel College</t>
  </si>
  <si>
    <t>Greenville (Mercer County)</t>
  </si>
  <si>
    <t>Ursinus College</t>
  </si>
  <si>
    <t>Collegeville (Montgomery County)</t>
  </si>
  <si>
    <t>Washington &amp; Jefferson College</t>
  </si>
  <si>
    <t>Washington (Washington County)</t>
  </si>
  <si>
    <t>s16</t>
  </si>
  <si>
    <t>Westminster College</t>
  </si>
  <si>
    <t>New Wilmington (Lawrence County)</t>
  </si>
  <si>
    <t>Wilson College</t>
  </si>
  <si>
    <t>Chambersburg (Franklin County)</t>
  </si>
  <si>
    <t>Wilkes University</t>
  </si>
  <si>
    <t>Wilkes-Barre, Pennsylvania (Luzerne County)</t>
  </si>
  <si>
    <t>York College of Pennsylvania</t>
  </si>
  <si>
    <t>Spring Garden (York County)</t>
  </si>
  <si>
    <t>Alvernia University</t>
  </si>
  <si>
    <t>S16</t>
  </si>
  <si>
    <t>Arcadia University</t>
  </si>
  <si>
    <t>Cheltenham Township (Montgomery County)</t>
  </si>
  <si>
    <t>Bryn Mawr College</t>
  </si>
  <si>
    <t>Carnegie Mellon University</t>
  </si>
  <si>
    <t>Chestnut Hill College</t>
  </si>
  <si>
    <t>Drexel University</t>
  </si>
  <si>
    <t>Duquesne University</t>
  </si>
  <si>
    <t>Eastern University</t>
  </si>
  <si>
    <t>American Baptist Churches USA</t>
  </si>
  <si>
    <t>Gannon University</t>
  </si>
  <si>
    <t>Holy Family University</t>
  </si>
  <si>
    <t>Immaculata University</t>
  </si>
  <si>
    <t>East Whiteland Township (Chester County)</t>
  </si>
  <si>
    <t>La Salle University</t>
  </si>
  <si>
    <t>Lehigh University</t>
  </si>
  <si>
    <t>Marywood University</t>
  </si>
  <si>
    <t>Dunmore (Lackawanna County)</t>
  </si>
  <si>
    <t>Misericordia University</t>
  </si>
  <si>
    <t>Dallas Township (Luzerne County)</t>
  </si>
  <si>
    <t>Neumann University</t>
  </si>
  <si>
    <t>Aston Township (Delaware County)</t>
  </si>
  <si>
    <t>University of Pennsylvania</t>
  </si>
  <si>
    <t>Philadelphia University</t>
  </si>
  <si>
    <t>Robert Morris University</t>
  </si>
  <si>
    <t>Moon Township (Allegheny County)</t>
  </si>
  <si>
    <t>Saint Francis University</t>
  </si>
  <si>
    <t>Loretto (Cambria County)</t>
  </si>
  <si>
    <t>Saint Joseph’s University</t>
  </si>
  <si>
    <t>Philadelphia and Lower Merion Township (Montgomery County)</t>
  </si>
  <si>
    <t>Roman Catholic Church- Society of Jesus</t>
  </si>
  <si>
    <t>F15</t>
  </si>
  <si>
    <t>University of Scranton</t>
  </si>
  <si>
    <t>Scranton (Lackawanna County)</t>
  </si>
  <si>
    <t>University of the Sciences</t>
  </si>
  <si>
    <t>Thomas Jefferson University</t>
  </si>
  <si>
    <t>Villanova University</t>
  </si>
  <si>
    <t>Waynesburg University</t>
  </si>
  <si>
    <t>Waynesburg (Greene County)</t>
  </si>
  <si>
    <t>Widener University</t>
  </si>
  <si>
    <t>Chester (Delaware County)</t>
  </si>
  <si>
    <t>Bloomsburg University of Pennsylvania</t>
  </si>
  <si>
    <t>Bloomsburg (Columbia County)</t>
  </si>
  <si>
    <t>California University of Pennsylvania</t>
  </si>
  <si>
    <t>California (Washington County)</t>
  </si>
  <si>
    <t>Cheyney University of Pennsylvania</t>
  </si>
  <si>
    <t>Cheyney (Chester County)</t>
  </si>
  <si>
    <t>Clarion University of Pennsylvania</t>
  </si>
  <si>
    <t>Clarion (Clarion County)</t>
  </si>
  <si>
    <t>East Stroudsburg University of Pennsylvania</t>
  </si>
  <si>
    <t>East Stroudsburg (Monroe County)</t>
  </si>
  <si>
    <t>Edinboro University of Pennsylvania</t>
  </si>
  <si>
    <t>Edinboro (Erie County)</t>
  </si>
  <si>
    <t>Indiana University of Pennsylvania</t>
  </si>
  <si>
    <t>Indiana (Indiana County)</t>
  </si>
  <si>
    <t>Kutztown University of Pennsylvania</t>
  </si>
  <si>
    <t>Kutztown (Berks County)</t>
  </si>
  <si>
    <t>Lock Haven University of Pennsylvania</t>
  </si>
  <si>
    <t>Lock Haven (Clinton County)</t>
  </si>
  <si>
    <t>Mansfield University of Pennsylvania</t>
  </si>
  <si>
    <t>Mansfield (Tioga County)</t>
  </si>
  <si>
    <t>Millersville University of Pennsylvania</t>
  </si>
  <si>
    <t>Millersville (Lancaster County)</t>
  </si>
  <si>
    <t>Shippensburg University of Pennsylvania</t>
  </si>
  <si>
    <t>Shippensburg (Cumberland County)</t>
  </si>
  <si>
    <t>Slippery Rock University of Pennsylvania</t>
  </si>
  <si>
    <t>Slippery Rock (Butler County)</t>
  </si>
  <si>
    <t>West Chester University of Pennsylvania</t>
  </si>
  <si>
    <t>West Chester (Chester County)</t>
  </si>
  <si>
    <t>Pennsylvania State University</t>
  </si>
  <si>
    <t>State College (Centre County)</t>
  </si>
  <si>
    <t>Doctoral University</t>
  </si>
  <si>
    <t>University of Pittsburgh</t>
  </si>
  <si>
    <t>Temple University</t>
  </si>
  <si>
    <t>thru NY</t>
  </si>
  <si>
    <t>thru NJ</t>
  </si>
  <si>
    <t>sum ren&gt;enr</t>
  </si>
  <si>
    <t>sum grad.enr</t>
  </si>
  <si>
    <t>weighted average of Frd percents</t>
  </si>
  <si>
    <t>mean enr.ren</t>
  </si>
  <si>
    <t>mean enr.grad</t>
  </si>
  <si>
    <t>grad total</t>
  </si>
  <si>
    <t>ren total</t>
  </si>
  <si>
    <t>University of Delaware</t>
  </si>
  <si>
    <t>DEL</t>
  </si>
  <si>
    <t>Delaware State University</t>
  </si>
  <si>
    <t>Dover</t>
  </si>
  <si>
    <t>Bowie State University</t>
  </si>
  <si>
    <t>Bowie</t>
  </si>
  <si>
    <t>MD</t>
  </si>
  <si>
    <t>Coppin State University</t>
  </si>
  <si>
    <t>Baltimore</t>
  </si>
  <si>
    <t>Frostburg State University</t>
  </si>
  <si>
    <t>Frostburg</t>
  </si>
  <si>
    <t>Morgan State University</t>
  </si>
  <si>
    <t>Salisbury University</t>
  </si>
  <si>
    <t>Salisbury</t>
  </si>
  <si>
    <t>St. Mary's College of Maryland</t>
  </si>
  <si>
    <t>St. Mary's City</t>
  </si>
  <si>
    <t>Towson University</t>
  </si>
  <si>
    <t>Towson</t>
  </si>
  <si>
    <t>United States Naval Academy</t>
  </si>
  <si>
    <t>Annapolis</t>
  </si>
  <si>
    <t>University of Baltimore</t>
  </si>
  <si>
    <t>University of Maryland, Baltimore</t>
  </si>
  <si>
    <t>University of Maryland, Baltimore County</t>
  </si>
  <si>
    <t>Catonsville/Arbutus</t>
  </si>
  <si>
    <t>University of Maryland, College Park</t>
  </si>
  <si>
    <t>College Park</t>
  </si>
  <si>
    <t>University of Maryland, Eastern Shore</t>
  </si>
  <si>
    <t>Princess Anne</t>
  </si>
  <si>
    <t>University of Maryland University College</t>
  </si>
  <si>
    <t>Adelphi</t>
  </si>
  <si>
    <t>Private, non-profit colleges and universities</t>
  </si>
  <si>
    <t>Name</t>
  </si>
  <si>
    <t>Location</t>
  </si>
  <si>
    <t>Founded</t>
  </si>
  <si>
    <t>Enrollment</t>
  </si>
  <si>
    <t>Capitol Technology University</t>
  </si>
  <si>
    <t>Laurel</t>
  </si>
  <si>
    <t>Goucher College</t>
  </si>
  <si>
    <t>Hood College</t>
  </si>
  <si>
    <t>Frederick</t>
  </si>
  <si>
    <t>Johns Hopkins University</t>
  </si>
  <si>
    <t>Loyola University Maryland</t>
  </si>
  <si>
    <t>Maryland Institute College of Art</t>
  </si>
  <si>
    <t>only arts majors</t>
  </si>
  <si>
    <t>Maryland University of Integrative Health</t>
  </si>
  <si>
    <t>McDaniel College</t>
  </si>
  <si>
    <t>Westminster</t>
  </si>
  <si>
    <t>Mount St. Mary's University</t>
  </si>
  <si>
    <t>Emmitsburg</t>
  </si>
  <si>
    <t>Notre Dame of Maryland University</t>
  </si>
  <si>
    <t>St. John's College</t>
  </si>
  <si>
    <t>Stevenson University</t>
  </si>
  <si>
    <t>Stevenson</t>
  </si>
  <si>
    <t>Washington Adventist University</t>
  </si>
  <si>
    <t>Takoma Park</t>
  </si>
  <si>
    <t>Washington College</t>
  </si>
  <si>
    <t>Chestertown</t>
  </si>
  <si>
    <t>American University</t>
  </si>
  <si>
    <t>Private not-for-profit</t>
  </si>
  <si>
    <t>Catholic University of America</t>
  </si>
  <si>
    <t>George Washington University</t>
  </si>
  <si>
    <t>Georgetown University</t>
  </si>
  <si>
    <t>Howard University</t>
  </si>
  <si>
    <t>Trinity Washington University</t>
  </si>
  <si>
    <t>f16</t>
  </si>
  <si>
    <t>University of the District of Columbia</t>
  </si>
  <si>
    <t>DC</t>
  </si>
  <si>
    <t>critical reading 720, math 721, writing 714. Mean ACT score: 32</t>
  </si>
  <si>
    <t>SAT'S</t>
  </si>
  <si>
    <t>SAT Average: (Critical Reading, Math, Writing) 2034 on 2400 scale</t>
  </si>
  <si>
    <t>SAT (CR+M+WR), 2067. Average SAT (CR+M), 1377. Average ACT, 31.</t>
  </si>
  <si>
    <r>
      <t xml:space="preserve">Average critical reading / math </t>
    </r>
    <r>
      <rPr>
        <b/>
        <sz val="11"/>
        <color theme="1"/>
        <rFont val="Calibri"/>
        <family val="2"/>
        <scheme val="minor"/>
      </rPr>
      <t>SATs</t>
    </r>
    <r>
      <rPr>
        <sz val="11"/>
        <color theme="1"/>
        <rFont val="Calibri"/>
        <family val="2"/>
        <scheme val="minor"/>
      </rPr>
      <t>*, 619 / 621</t>
    </r>
  </si>
  <si>
    <t>SAT Writing: 580–670. ACT Middle 50% Composite 26–30</t>
  </si>
  <si>
    <t>25th Percentile75th PercentileSAT Critical Reading430 540 sAT Math440 540SAT Writing430 530SAT EsACT Composite19 24</t>
  </si>
  <si>
    <t>Average high school GPA for entering freshmen class of fall 2014: 3.24; SAT I: 1,048</t>
  </si>
  <si>
    <r>
      <t xml:space="preserve">Middle 50% score Range: </t>
    </r>
    <r>
      <rPr>
        <b/>
        <sz val="11"/>
        <color theme="1"/>
        <rFont val="Calibri"/>
        <family val="2"/>
        <scheme val="minor"/>
      </rPr>
      <t>SAT</t>
    </r>
    <r>
      <rPr>
        <sz val="11"/>
        <color theme="1"/>
        <rFont val="Calibri"/>
        <family val="2"/>
        <scheme val="minor"/>
      </rPr>
      <t xml:space="preserve"> critical reading, 630-730. </t>
    </r>
    <r>
      <rPr>
        <b/>
        <sz val="11"/>
        <color theme="1"/>
        <rFont val="Calibri"/>
        <family val="2"/>
        <scheme val="minor"/>
      </rPr>
      <t>SAT</t>
    </r>
    <r>
      <rPr>
        <sz val="11"/>
        <color theme="1"/>
        <rFont val="Calibri"/>
        <family val="2"/>
        <scheme val="minor"/>
      </rPr>
      <t xml:space="preserve"> math, 620-740. </t>
    </r>
    <r>
      <rPr>
        <b/>
        <sz val="11"/>
        <color theme="1"/>
        <rFont val="Calibri"/>
        <family val="2"/>
        <scheme val="minor"/>
      </rPr>
      <t>SAT</t>
    </r>
    <r>
      <rPr>
        <sz val="11"/>
        <color theme="1"/>
        <rFont val="Calibri"/>
        <family val="2"/>
        <scheme val="minor"/>
      </rPr>
      <t xml:space="preserve"> writing, 640-730. Mean Test Scores: ACT Composite, 30</t>
    </r>
  </si>
  <si>
    <t>http://www.northeastern.edu/facultysenate/assets/uploads/2016/06/EAPC-2015-16-FnlRpt.pdf</t>
  </si>
  <si>
    <t>approx 1400 for math/eng total</t>
  </si>
  <si>
    <t>http://www.stonehill.edu/files/resources/fb_2013-14_19-adm-ft-ft-sat-scores-average-class-r.pdf</t>
  </si>
  <si>
    <t>1130 "c0mbined" and optional</t>
  </si>
  <si>
    <t>http://suffolk.edu/documents/IRA/fa12_nf_profile.pdf</t>
  </si>
  <si>
    <t>http://provost.tufts.edu/institutionalresearch/files/Fast-Facts-2015-2016.pdf</t>
  </si>
  <si>
    <t>ombined average SATs at 1225/1600</t>
  </si>
  <si>
    <t>https://www.umb.edu/editor_uploads/images/oirp/2015_TABLE11-Mean_SAT_Scores_of_Entering_Freshmen-2015.pdf</t>
  </si>
  <si>
    <t>1062, combined</t>
  </si>
  <si>
    <t>http://www.umassd.edu/undergraduate/facts/</t>
  </si>
  <si>
    <t>1029, com</t>
  </si>
  <si>
    <t>Common Data Set 2015-201625th Percentile 75th PercentileSAT Critical Reading520 620 SAT Math550 650SAT Writing500 600</t>
  </si>
  <si>
    <t>CLASS OF 2020: Mean Test Scores SAT Critical Reading 702 SAT Writing 700 SAT Math 691 ACT 31</t>
  </si>
  <si>
    <t>Critical Reading &amp; Math: 1066</t>
  </si>
  <si>
    <r>
      <t>SAT</t>
    </r>
    <r>
      <rPr>
        <sz val="11"/>
        <color theme="1"/>
        <rFont val="Calibri"/>
        <family val="2"/>
        <scheme val="minor"/>
      </rPr>
      <t xml:space="preserve"> score (critical reading + math): 1010</t>
    </r>
  </si>
  <si>
    <t>http://admission.williams.edu/files/student-profile.pdf</t>
  </si>
  <si>
    <t>https://web.wpi.edu/Images/CMS/InstituionalResearch/2015_Fact_Book_Web_Version.pdf</t>
  </si>
  <si>
    <t>1310, com</t>
  </si>
  <si>
    <t>http://www.worcester.edu/University-Data/</t>
  </si>
  <si>
    <t>https://www.brown.edu/admission/undergraduate/explore/admission-facts</t>
  </si>
  <si>
    <t>Average SAT score (middle 50% of the entire enrolled class) was 520-620 for the critical reading, 530-640 for math, and 530-640 for writing. The middle 50% range on the ACT for the entire enrolled class is 23-28.</t>
  </si>
  <si>
    <t>http://www.ric.edu/oirp/pdf/CommonDataSet2015-16.pdf</t>
  </si>
  <si>
    <t>http://web.uri.edu/ir/files/Fall2015FactSheets.pdf</t>
  </si>
  <si>
    <t>1110 com</t>
  </si>
  <si>
    <t>Middle 50 percent SAT combined Critical Reading and Math: 930-1110 Middle 50 percent ACT Composite: 19-24</t>
  </si>
  <si>
    <t>http://www.easternct.edu/admissions/files/2013/10/FactsSheet2012.pdf</t>
  </si>
  <si>
    <t>http://web.ccsu.edu/oira/files/factbook/2015-16/Admissions/FTFTScores-All.pdf</t>
  </si>
  <si>
    <t>http://factbook.southernct.edu/freshmen_sat_fall.html</t>
  </si>
  <si>
    <t>The mean SAT composite score for all first-time full-time students is 1000 (Mathematics 500 plus Verbal 500). The mean SAT Writing score is 501.</t>
  </si>
  <si>
    <t>http://www.wcsu.edu/president/facts-figures.asp</t>
  </si>
  <si>
    <t>http://static0.cloudapp.net/uconn/content/uploads/2014/09/2016_factsheet-05-25-16-web.pdf</t>
  </si>
  <si>
    <t>1233 com</t>
  </si>
  <si>
    <t>https://www.conncoll.edu/media/website-media/about/Connecticut-College-CDS-2015-2016.pdf</t>
  </si>
  <si>
    <t>https://www.fairfield.edu/media/fairfielduniversitywebsite/documents/administration/ir_factbook_2015-16.pdf</t>
  </si>
  <si>
    <t>1045 http://www.hartford.edu/academics/schedule_classes/files/fall%202014%20-%20college%20order.pdf</t>
  </si>
  <si>
    <t>https://www.qu.edu/admissions/undergraduate-admissions/who-studies-at-quinnipiac/</t>
  </si>
  <si>
    <t>http://www.wesleyan.edu/ir/data-sets/cds2015-16.pdf</t>
  </si>
  <si>
    <t>http://oir.yale.edu/sites/default/files/w032_fresh_sats_0.pdf</t>
  </si>
  <si>
    <t>http://www.bowdoin.edu/admissions/glance/index.shtml</t>
  </si>
  <si>
    <t>http://www.colby.edu/administration_cs/ir/factbook2013/upload/Admissions.pdf</t>
  </si>
  <si>
    <t>https://www.dartmouth.edu/~oir/data-reporting/factbook/admissions.html</t>
  </si>
  <si>
    <t>995 com</t>
  </si>
  <si>
    <t>https://www.keene.edu/office/ir/assets/document/factbook/download/</t>
  </si>
  <si>
    <t>https://www.plymouth.edu/office/institutional-research/files/2011/04/CDS_2015-2016-3.pdf</t>
  </si>
  <si>
    <t>Average SAT Scores = around 500 in each section (CR468/M484/W457), equivalent ACT is a 21 composite.     https://webservices.vsc.edu/WebServices/WebServices?TOKENIDX=1729101346&amp;SS=2&amp;APP=ST&amp;CONSTITUENCY=WBAP</t>
  </si>
  <si>
    <t>http://www.middlebury.edu/media/view/489152/original/middlebury_cds_2014-2015_2.pdf</t>
  </si>
  <si>
    <t>1217 com http://www2.mcdaniel.edu/Bus_Econ/clayco/4daymcd/state014/NYC/cuny.html</t>
  </si>
  <si>
    <t>http://www.baruch.cuny.edu/ir/entering_freshmen_class.htm</t>
  </si>
  <si>
    <t>https://www.ccny.cuny.edu/sites/default/files/2015_Fast_Facts_0.pdf</t>
  </si>
  <si>
    <t>http://www.hunter.cuny.edu/institutional-research/repository/ir-files/Fresh%20at%20a%20glance.pdf</t>
  </si>
  <si>
    <t>910 com http://www2.mcdaniel.edu/Bus_Econ/clayco/4daymcd/state014/NYC/cuny.html</t>
  </si>
  <si>
    <t>http://www.jjay.cuny.edu/sites/default/files/contentgroups/instu_research_assessment/FACT_BOOK_2015.pdf</t>
  </si>
  <si>
    <t>http://about.adelphi.edu/overview/quick-facts/fact-sheet/</t>
  </si>
  <si>
    <t>http://admissions.alfred.edu/why-alfred/#class-profile</t>
  </si>
  <si>
    <t>http://www.bard.edu/admission/discover/profile/</t>
  </si>
  <si>
    <t>http://www.canisius.edu/dotAsset/531793f9-c745-41fb-b461-ed2ea8d184ee.pdf</t>
  </si>
  <si>
    <t>http://www.clarkson.edu/ir/files/cds/CDS_2015-2016.pdf</t>
  </si>
  <si>
    <t>https://www.colgate.edu/docs/default-source/default-document-library/cds_2015-2016-final_updated-05182016.pdf?sfvrsn=0</t>
  </si>
  <si>
    <t>http://barnard.edu/sites/default/files/cds_2015-2016_09-02-16.pdf</t>
  </si>
  <si>
    <t>columbia - na need password</t>
  </si>
  <si>
    <t>1422 com http://www2.mcdaniel.edu/Bus_Econ/clayco/4daymcd/State013/northeast/Four%20Day%20Weeks%20at%20Flagship%20Northeast%20Schools.htm</t>
  </si>
  <si>
    <t>http://irp.dpb.cornell.edu/wp-content/uploads/2015/07/Profile2015-Freshman-update-IRP-web.pdf</t>
  </si>
  <si>
    <t>http://www.daemen.edu/about/fast-facts</t>
  </si>
  <si>
    <t>http://www.fordham.edu/downloads/file/6408/common_data_set_2015-2016</t>
  </si>
  <si>
    <t>https://www.hamilton.edu/facts/profile</t>
  </si>
  <si>
    <t>password</t>
  </si>
  <si>
    <t>http://www.hws.edu/admissions/class_profile.aspx</t>
  </si>
  <si>
    <t>http://www.hofstra.edu/admission/adm_stdprofile.html</t>
  </si>
  <si>
    <t>http://www.houghton.edu/am-site/media/ira-fb-sat-scores-fys-f14.pdf</t>
  </si>
  <si>
    <t>http://www.iona.edu/About/Fast-Facts.aspx</t>
  </si>
  <si>
    <t>http://www.ithaca.edu/ir/docs/commondataset/cds1516/cds1516.pdf</t>
  </si>
  <si>
    <t>https://s3.amazonaws.com/lemoyneprojects/institutionalresearch/factbook/First_Yr_SAT.pdf</t>
  </si>
  <si>
    <t>https://manhattan.edu/about/facts-stats.php</t>
  </si>
  <si>
    <t>http://www-archive.manhattan.edu/sites/default/files/cds_2014-2015_final.pdf</t>
  </si>
  <si>
    <t>http://www.marist.edu/ir/factbook/pdfs/cohort.pdf?v=2014</t>
  </si>
  <si>
    <t>https://www2.naz.edu/about/facts-recognition/</t>
  </si>
  <si>
    <t>http://pace.edu/about-us/fast-facts</t>
  </si>
  <si>
    <t>https://www.pratt.edu/admissions/request-information/statistics/</t>
  </si>
  <si>
    <t>http://rpi.edu/about/facts.html</t>
  </si>
  <si>
    <t>http://www.rit.edu/~w-admiss/pdf/SAT2015_2016guidelines.pdf</t>
  </si>
  <si>
    <t>https://www.sarahlawrence.edu/media/about/pdf/travel_brochure0815.pdf</t>
  </si>
  <si>
    <t>https://www.siena.edu/about/about-siena/fast-facts</t>
  </si>
  <si>
    <t>http://www.skidmore.edu/admissions/facts/index.php</t>
  </si>
  <si>
    <t>http://www.sbu.edu/about-sbu/sbu-facts</t>
  </si>
  <si>
    <t>http://www.sjfc.edu/about/institutionalresearch/documents/commondata/CDS2015-16.pdf</t>
  </si>
  <si>
    <t>http://www.stjohns.edu/sites/default/files/documents/ir/fact-book/fall_2015_student_section.1_1.pdf</t>
  </si>
  <si>
    <t>http://www.stlawu.edu/ir/sites/stlawu.edu.ir/files/CDSStlawrenceU2015-2016.pdf</t>
  </si>
  <si>
    <t>http://www.stac.edu/about-stac/stac-facts</t>
  </si>
  <si>
    <t>http://newhouse.syr.edu/admissions/undergraduate/faq</t>
  </si>
  <si>
    <t>https://www.union.edu/admissions/union/</t>
  </si>
  <si>
    <t>1414, must be three</t>
  </si>
  <si>
    <t>http://www.utica.edu/instadvance/marketingcomm/about/fastfacts.cfm</t>
  </si>
  <si>
    <t>http://institutionalresearch.vassar.edu/docs/Vassar-College-CDS-2015-16.pdf</t>
  </si>
  <si>
    <t>https://www.vaughn.edu/fast-facts-about-vaughn/#classprofile</t>
  </si>
  <si>
    <t>http://wagner.edu/about/files/2013/06/CDS_2015-2016.pdf</t>
  </si>
  <si>
    <t>http://nces.ed.gov/collegenavigator/?q=Wells+College&amp;s=all&amp;id=197230</t>
  </si>
  <si>
    <t>http://nces.ed.gov/collegenavigator/?q=yeshiva+univ&amp;s=all&amp;id=197708</t>
  </si>
  <si>
    <t>http://nces.ed.gov/collegenavigator/?q=Binghamton+University&amp;s=all&amp;id=196079</t>
  </si>
  <si>
    <t>http://nces.ed.gov/collegenavigator/?q=Stony+Brook+University&amp;s=all&amp;id=196097</t>
  </si>
  <si>
    <t>http://nces.ed.gov/collegenavigator/?q=University+at+Albany&amp;s=all&amp;id=196060</t>
  </si>
  <si>
    <t>http://nces.ed.gov/collegenavigator/?q=University+at+Buffalo&amp;s=all&amp;id=196088</t>
  </si>
  <si>
    <t>http://nces.ed.gov/collegenavigator/?q=suny+at+Cobleskill&amp;s=all&amp;id=196033</t>
  </si>
  <si>
    <t>http://www.morrisville.edu/documents/Institutional%20ResearchFast%20Facts%20Fall%202014.pdf</t>
  </si>
  <si>
    <t>http://nces.ed.gov/collegenavigator/?q=SUNY+at+Brockport&amp;s=all&amp;id=196121</t>
  </si>
  <si>
    <t>http://oira.cortland.edu/webpage/CDS/CDS_2014-2015-4-8-16.pdf</t>
  </si>
  <si>
    <t>http://www.newpaltz.edu/about/glance.html</t>
  </si>
  <si>
    <t>http://nces.ed.gov/collegenavigator/?q=SUNY+at+Old+Westbury&amp;s=all&amp;id=196237#admsns</t>
  </si>
  <si>
    <t>http://suny.oneonta.edu/about-oneonta/fast-facts</t>
  </si>
  <si>
    <t>http://nces.ed.gov/collegenavigator/?q=SUNY+at+Oswego&amp;s=all&amp;id=196194#admsns</t>
  </si>
  <si>
    <t>http://nces.ed.gov/collegenavigator/?q=SUNY+at+Plattsburgh&amp;s=all&amp;id=196246</t>
  </si>
  <si>
    <t>http://www.potsdam.edu/sites/default/files/documents/offices/ie/statistics/CDS_2015-2016-2.pdf</t>
  </si>
  <si>
    <t>http://nces.ed.gov/collegenavigator/?q=SUNY+at+Purchase&amp;s=all&amp;id=196219</t>
  </si>
  <si>
    <t>http://nces.ed.gov/collegenavigator/?q=American+International+College&amp;s=all&amp;id=164447</t>
  </si>
  <si>
    <t>http://nces.ed.gov/collegenavigator/?q=Becker+College&amp;s=all&amp;id=164720</t>
  </si>
  <si>
    <t>http://nces.ed.gov/collegenavigator/?q=Bentley+University&amp;s=all&amp;id=164739</t>
  </si>
  <si>
    <t>http://nces.ed.gov/collegenavigator/?q=Brandeis+University&amp;s=all&amp;id=165015</t>
  </si>
  <si>
    <t>http://nces.ed.gov/collegenavigator/?q=Bridgewater+State+University&amp;s=all&amp;id=165024</t>
  </si>
  <si>
    <t>http://nces.ed.gov/collegenavigator/?q=Fitchburg+State+University&amp;s=all&amp;id=165820#admsns</t>
  </si>
  <si>
    <t>http://nces.ed.gov/collegenavigator/?q=Gordon+College&amp;s=all&amp;id=165936</t>
  </si>
  <si>
    <t>http://nces.ed.gov/collegenavigator/?q=Harvard+University&amp;s=all&amp;id=166027</t>
  </si>
  <si>
    <t>http://nces.ed.gov/collegenavigator/?q=Lesley+University&amp;s=all&amp;id=166452</t>
  </si>
  <si>
    <t>http://nces.ed.gov/collegenavigator/?q=Massachusetts+Institute+of+Technology&amp;s=all&amp;id=166683</t>
  </si>
  <si>
    <t>http://nces.ed.gov/collegenavigator/?q=Wheelock+College&amp;s=all&amp;id=168290</t>
  </si>
  <si>
    <t>http://nces.ed.gov/collegenavigator/?q=University+of+Maine&amp;s=all&amp;id=161253</t>
  </si>
  <si>
    <t>http://nces.ed.gov/collegenavigator/?q=University+of+New+Hampshire&amp;s=all&amp;id=183044</t>
  </si>
  <si>
    <t>http://nces.ed.gov/collegenavigator/?q=Lyndon+State+College&amp;s=all&amp;id=230931#admsns</t>
  </si>
  <si>
    <t>http://nces.ed.gov/collegenavigator/?q=College+of+New+Rochelle&amp;s=all&amp;id=193645</t>
  </si>
  <si>
    <t>http://nces.ed.gov/collegenavigator/?q=Concordia+College&amp;s=all&amp;id=190248</t>
  </si>
  <si>
    <t>http://nces.ed.gov/collegenavigator/?q=D%27Youville+College&amp;s=all&amp;id=190716</t>
  </si>
  <si>
    <t>http://nces.ed.gov/collegenavigator/?q=Medaille+College&amp;s=all&amp;id=192925</t>
  </si>
  <si>
    <t>http://nces.ed.gov/collegenavigator/?q=New+York+Institute+of+Technology&amp;s=all&amp;id=194091</t>
  </si>
  <si>
    <t>http://nces.ed.gov/collegenavigator/?q=Niagara+University&amp;s=all&amp;id=193973</t>
  </si>
  <si>
    <t>http://nces.ed.gov/collegenavigator/?q=Roberts+Wesleyan+College&amp;s=all&amp;id=194958</t>
  </si>
  <si>
    <t>http://nces.ed.gov/collegenavigator/?q=Syracuse+University&amp;s=all&amp;id=196413</t>
  </si>
  <si>
    <t>http://nces.ed.gov/collegenavigator/?q=Kean+University&amp;s=all&amp;id=185262</t>
  </si>
  <si>
    <t>http://www.montclair.edu/about-montclair/at-a-glance/undergraduate-student-facts/</t>
  </si>
  <si>
    <t>http://nces.ed.gov/collegenavigator/?q=New+Jersey+City+University&amp;s=all&amp;id=185129</t>
  </si>
  <si>
    <t>http://nces.ed.gov/collegenavigator/?q=New+Jersey+Institute+of+Technology&amp;s=all&amp;id=185828</t>
  </si>
  <si>
    <t>http://nces.ed.gov/collegenavigator/?q=Ramapo+College&amp;s=all&amp;id=186201</t>
  </si>
  <si>
    <t>http://nces.ed.gov/collegenavigator/?q=Stockton+University&amp;s=all&amp;id=186876</t>
  </si>
  <si>
    <t>http://nces.ed.gov/collegenavigator/?q=Rowan+University&amp;s=all&amp;id=184782</t>
  </si>
  <si>
    <t>http://nces.ed.gov/collegenavigator/?q=Rutgers&amp;s=all&amp;id=186371</t>
  </si>
  <si>
    <t>http://nces.ed.gov/collegenavigator/?q=William+Paterson+University&amp;s=all&amp;id=187444</t>
  </si>
  <si>
    <t>http://nces.ed.gov/collegenavigator/?q=Bloomfield+College&amp;s=all&amp;id=183822</t>
  </si>
  <si>
    <t>http://nces.ed.gov/collegenavigator/?q=Caldwell+University&amp;s=all&amp;id=183910</t>
  </si>
  <si>
    <t>http://nces.ed.gov/collegenavigator/?q=Centenary+College&amp;s=all&amp;id=183974</t>
  </si>
  <si>
    <t>http://nces.ed.gov/collegenavigator/?q=College+of+Saint+Elizabeth&amp;s=all&amp;id=186618</t>
  </si>
  <si>
    <t>http://nces.ed.gov/collegenavigator/?q=Fair+leigh+Dickinson+University&amp;s=all&amp;id=184694</t>
  </si>
  <si>
    <t>http://nces.ed.gov/collegenavigator/?q=Georgian+Court+University&amp;s=all&amp;id=184773</t>
  </si>
  <si>
    <t>http://nces.ed.gov/collegenavigator/?q=Monmouth+University&amp;s=all&amp;id=185572</t>
  </si>
  <si>
    <t>http://nces.ed.gov/collegenavigator/?q=Princeton+University&amp;s=all&amp;id=186131</t>
  </si>
  <si>
    <t>http://nces.ed.gov/collegenavigator/?q=Rider+University&amp;s=all&amp;id=186283</t>
  </si>
  <si>
    <t>http://nces.ed.gov/collegenavigator/?q=Saint+Peter%27s+University&amp;s=all&amp;id=186432</t>
  </si>
  <si>
    <t>http://nces.ed.gov/collegenavigator/?q=Seton+Hall+University&amp;s=all&amp;id=186584</t>
  </si>
  <si>
    <t>http://nces.ed.gov/collegenavigator/?q=Stevens+Institute+of+Technology&amp;s=all&amp;id=186867</t>
  </si>
  <si>
    <t>http://albright.edu/Facts/at-at-glance2007.pdf</t>
  </si>
  <si>
    <t>http://sites.allegheny.edu/institutionalresearch/the-common-data-set/cds-2015-2016/</t>
  </si>
  <si>
    <t>http://nces.ed.gov/collegenavigator/?q=Bucknell+University&amp;s=all&amp;id=211291</t>
  </si>
  <si>
    <t>https://www.cabrini.edu/globalassets/pdfs-website/institutional-research/common-data-set-2015-16.pdf</t>
  </si>
  <si>
    <t>http://nces.ed.gov/collegenavigator/?q=Cairn+University&amp;s=all&amp;id=215114</t>
  </si>
  <si>
    <t>http://nces.ed.gov/collegenavigator/?q=Carlow+University&amp;s=all&amp;id=211431#admsns</t>
  </si>
  <si>
    <t>http://nces.ed.gov/collegenavigator/?q=Cedar+Crest+College&amp;s=all&amp;id=211468</t>
  </si>
  <si>
    <t>https://my.chatham.edu/documents/documentcenter/CDS_2015-20163.pdf</t>
  </si>
  <si>
    <t>http://nces.ed.gov/collegenavigator/?q=Delaware+Valley+University&amp;s=all&amp;id=211981</t>
  </si>
  <si>
    <t>http://www.dickinson.edu/info/20048/history_of_the_college/1909/quick_facts/2</t>
  </si>
  <si>
    <t>http://nces.ed.gov/collegenavigator/?q=Elizabethtown+College&amp;s=all&amp;id=212197</t>
  </si>
  <si>
    <t>https://drive.google.com/drive/folders/0B42uoy-l_R4rfkQwY29rVVBYOGhkOW4zOFBEYWFmNUZxcjUwdkdmYXJZVTRzd0lHdTdaX1U</t>
  </si>
  <si>
    <t>http://nces.ed.gov/collegenavigator/?q=Geneva+College&amp;s=all&amp;id=212656</t>
  </si>
  <si>
    <t>http://www.gettysburg.edu/home/search.dot?q=common%20data</t>
  </si>
  <si>
    <t>http://nces.ed.gov/collegenavigator/?q=Gwynedd+Mercy+University&amp;s=all&amp;id=212832</t>
  </si>
  <si>
    <t>http://nces.ed.gov/collegenavigator/?q=Haverford+College&amp;s=all&amp;id=212911</t>
  </si>
  <si>
    <t>http://www.juniata.edu/admission/just-the-facts/meettheclass.php</t>
  </si>
  <si>
    <t>http://nces.ed.gov/collegenavigator/?q=Keystone+College&amp;s=all&amp;id=213303</t>
  </si>
  <si>
    <t>http://nces.ed.gov/collegenavigator/?q=La+Roche+College&amp;s=all&amp;id=213358</t>
  </si>
  <si>
    <t>http://nces.ed.gov/collegenavigator/?q=Lafayette+College&amp;s=all&amp;id=213385</t>
  </si>
  <si>
    <t>https://www.lvc.edu/institutionalresearch/documents/CDS_2015-2016.pdf</t>
  </si>
  <si>
    <t>http://nces.ed.gov/collegenavigator/?q=Lycoming+College&amp;s=all&amp;id=213668</t>
  </si>
  <si>
    <t>http://nces.ed.gov/collegenavigator/?q=Messiah+College&amp;s=all&amp;id=213996</t>
  </si>
  <si>
    <t>http://nces.ed.gov/collegenavigator/?q=Moravian+College&amp;s=all&amp;id=214157</t>
  </si>
  <si>
    <t>http://nces.ed.gov/collegenavigator/?q=Mount+Aloysius+College&amp;s=all&amp;id=214166</t>
  </si>
  <si>
    <t>http://www.muhlenberg.edu/main/aboutus/bergataglance.html</t>
  </si>
  <si>
    <t>http://nces.ed.gov/collegenavigator/?q=Point+Park+University&amp;s=all&amp;id=215442</t>
  </si>
  <si>
    <t>http://nces.ed.gov/collegenavigator/?q=Saint+Vincent+College&amp;s=all&amp;id=215798</t>
  </si>
  <si>
    <t>https://griffinslair.setonhill.edu/documents/getfile.cfm?DocID=2243</t>
  </si>
  <si>
    <t>https://www.susqu.edu/Documents/about/common-data-set-2015-16.pdf</t>
  </si>
  <si>
    <t>http://www.swarthmore.edu/sites/default/files/assets/documents/admissions-aid/2016-030_FactSheetsweb2.pdf</t>
  </si>
  <si>
    <t>http://nces.ed.gov/collegenavigator/?q=Thiel+College&amp;s=all&amp;id=216357</t>
  </si>
  <si>
    <t>http://members.ucan-network.org/ursinus</t>
  </si>
  <si>
    <t>http://nces.ed.gov/collegenavigator/?q=Westminster+College&amp;s=all&amp;id=216807</t>
  </si>
  <si>
    <t>http://nces.ed.gov/collegenavigator/?q=Wilkes+University&amp;s=all&amp;id=216931</t>
  </si>
  <si>
    <t>http://nces.ed.gov/collegenavigator/?q=York+College&amp;s=all&amp;pg=2&amp;id=217059</t>
  </si>
  <si>
    <t>http://nces.ed.gov/collegenavigator/?q=Alvernia+University&amp;s=all&amp;id=210775</t>
  </si>
  <si>
    <t>http://nces.ed.gov/collegenavigator/?q=Arcadia+University&amp;s=all&amp;id=211088</t>
  </si>
  <si>
    <t>http://nces.ed.gov/collegenavigator/?q=Bryn+Mawr+College&amp;s=all&amp;id=211273</t>
  </si>
  <si>
    <t>http://nces.ed.gov/collegenavigator/?q=Carnegie+Mellon+University&amp;s=all&amp;id=211440</t>
  </si>
  <si>
    <t>http://nces.ed.gov/collegenavigator/?q=Chestnut+Hill+College&amp;s=all&amp;id=211583</t>
  </si>
  <si>
    <t>http://nces.ed.gov/collegenavigator/?q=Drexel+University&amp;s=all&amp;id=212054</t>
  </si>
  <si>
    <t>http://nces.ed.gov/collegenavigator/?q=Duquesne+University&amp;s=all&amp;id=212106</t>
  </si>
  <si>
    <t>http://nces.ed.gov/collegenavigator/?q=Eastern+University&amp;s=all&amp;pg=1&amp;id=212133</t>
  </si>
  <si>
    <t>http://nces.ed.gov/collegenavigator/?q=Gannon+University&amp;s=all&amp;id=212601</t>
  </si>
  <si>
    <t>http://nces.ed.gov/collegenavigator/?q=Holy+Family+University&amp;s=all&amp;id=212984</t>
  </si>
  <si>
    <t>http://nces.ed.gov/collegenavigator/?q=Immaculata+University&amp;s=all&amp;id=213011</t>
  </si>
  <si>
    <t>http://nces.ed.gov/collegenavigator/?q=La+Salle+University&amp;s=all&amp;id=213367</t>
  </si>
  <si>
    <t>http://nces.ed.gov/collegenavigator/?q=Lehigh+University&amp;s=all&amp;id=213543</t>
  </si>
  <si>
    <t>http://nces.ed.gov/collegenavigator/?q=Marywood+University&amp;s=all&amp;id=213826</t>
  </si>
  <si>
    <t>http://nces.ed.gov/collegenavigator/?q=Misericordia+University&amp;s=all&amp;id=214069#admsns</t>
  </si>
  <si>
    <t>http://nces.ed.gov/collegenavigator/?q=Neumann+University&amp;s=all&amp;id=214272</t>
  </si>
  <si>
    <t>http://nces.ed.gov/collegenavigator/?q=University+of+Pennsylvania&amp;s=all&amp;pg=2&amp;id=215062</t>
  </si>
  <si>
    <t>http://nces.ed.gov/collegenavigator/?q=Philadelphia+University&amp;s=all&amp;id=215099</t>
  </si>
  <si>
    <t>http://nces.ed.gov/collegenavigator/?q=Robert+Morris+University&amp;s=all&amp;id=215655#admsns</t>
  </si>
  <si>
    <t>http://nces.ed.gov/collegenavigator/?q=Saint+Francis+University&amp;s=all&amp;id=215743</t>
  </si>
  <si>
    <t>http://www.sju.edu/int/resources/ir/pdf/2015-16/SJU%20Common%20Data%20Set%20-%202015-2016.pdf</t>
  </si>
  <si>
    <t>http://nces.ed.gov/collegenavigator/?q=University+of+Scranton&amp;s=all&amp;id=215929</t>
  </si>
  <si>
    <t>http://nces.ed.gov/collegenavigator/?q=Villanova+University&amp;s=all&amp;id=216597#admsns</t>
  </si>
  <si>
    <t>http://nces.ed.gov/collegenavigator/?q=Waynesburg+University&amp;s=all&amp;id=216694#admsns</t>
  </si>
  <si>
    <t>http://nces.ed.gov/collegenavigator/?q=Widener+University&amp;s=all&amp;id=216852#admsns</t>
  </si>
  <si>
    <t>http://nces.ed.gov/collegenavigator/?q=Bloomsburg+University+of+Pennsylvania&amp;s=all&amp;id=211158</t>
  </si>
  <si>
    <t>http://nces.ed.gov/collegenavigator/?q=University+of+Pennsylvania&amp;s=all&amp;id=211361#admsns</t>
  </si>
  <si>
    <t>http://nces.ed.gov/collegenavigator/?q=University+of+Pennsylvania&amp;s=all&amp;id=211644</t>
  </si>
  <si>
    <t>http://nces.ed.gov/collegenavigator/?q=University+of+Pennsylvania&amp;s=all&amp;id=212115</t>
  </si>
  <si>
    <t>http://nces.ed.gov/collegenavigator/?q=University+of+Pennsylvania&amp;s=all&amp;id=212160</t>
  </si>
  <si>
    <t>http://nces.ed.gov/collegenavigator/?q=University+of+Pennsylvania&amp;s=all&amp;id=213020</t>
  </si>
  <si>
    <t>http://nces.ed.gov/collegenavigator/?q=University+of+Pennsylvania&amp;s=all&amp;id=213349#admsns</t>
  </si>
  <si>
    <t>http://nces.ed.gov/collegenavigator/?q=University+of+Pennsylvania&amp;s=all&amp;id=213613</t>
  </si>
  <si>
    <t>http://nces.ed.gov/collegenavigator/?q=University+of+Pennsylvania&amp;s=all&amp;id=213783</t>
  </si>
  <si>
    <t>http://nces.ed.gov/collegenavigator/?q=University+of+Pennsylvania&amp;s=all&amp;id=214041</t>
  </si>
  <si>
    <t>http://nces.ed.gov/collegenavigator/?q=University+of+Pennsylvania&amp;s=all&amp;id=216010</t>
  </si>
  <si>
    <t>http://nces.ed.gov/collegenavigator/?q=University+of+Pennsylvania&amp;s=all&amp;id=216038</t>
  </si>
  <si>
    <t>http://nces.ed.gov/collegenavigator/?q=University+of+Pennsylvania&amp;s=all&amp;pg=2&amp;id=216764</t>
  </si>
  <si>
    <t>http://nces.ed.gov/collegenavigator/?q=Pennsylvania+State+University&amp;s=all&amp;id=214777</t>
  </si>
  <si>
    <t>http://nces.ed.gov/collegenavigator/?q=University+of+Pittsburgh&amp;s=all&amp;id=215293</t>
  </si>
  <si>
    <t>http://www.temple.edu/ira/documents/data-analysis/Fact-Book/TU_Fact_Book_2014-2015.pdf</t>
  </si>
  <si>
    <t>445+445</t>
  </si>
  <si>
    <t>http://nces.ed.gov/collegenavigator/?q=Delaware+State+University&amp;s=all&amp;id=130934</t>
  </si>
  <si>
    <t>590+605</t>
  </si>
  <si>
    <t>http://nces.ed.gov/collegenavigator/?q=University+of+Delaware&amp;s=all&amp;id=130943</t>
  </si>
  <si>
    <t>450+435</t>
  </si>
  <si>
    <t>http://nces.ed.gov/collegenavigator/?q=Bowie+State+University&amp;s=all&amp;id=162007</t>
  </si>
  <si>
    <t>435+455</t>
  </si>
  <si>
    <t>http://nces.ed.gov/collegenavigator/?q=Coppin+State+University&amp;s=all&amp;id=162283</t>
  </si>
  <si>
    <t>480+480</t>
  </si>
  <si>
    <t>http://nces.ed.gov/collegenavigator/?q=Frostburg+State+University&amp;s=all&amp;id=162584#admsns</t>
  </si>
  <si>
    <t>440+445</t>
  </si>
  <si>
    <t>http://nces.ed.gov/collegenavigator/?q=Morgan+State+University&amp;s=all&amp;id=163453</t>
  </si>
  <si>
    <t>580+580</t>
  </si>
  <si>
    <t>http://www.salisbury.edu/uara/profile/newstudents.html</t>
  </si>
  <si>
    <t>585+560</t>
  </si>
  <si>
    <t>http://nces.ed.gov/collegenavigator/?q=St.+Mary%27s+College+of+Maryland&amp;s=all&amp;id=163912#admsns</t>
  </si>
  <si>
    <t>540+545</t>
  </si>
  <si>
    <t>http://nces.ed.gov/collegenavigator/?q=Towson+University&amp;s=all&amp;id=164076#admsns</t>
  </si>
  <si>
    <t>498+475</t>
  </si>
  <si>
    <t>http://nces.ed.gov/collegenavigator/?q=University+of+Baltimore&amp;s=all&amp;id=161873</t>
  </si>
  <si>
    <t>590+620</t>
  </si>
  <si>
    <t>http://nces.ed.gov/collegenavigator/?q=University+of+Baltimore&amp;s=all&amp;id=163268</t>
  </si>
  <si>
    <t>640+675</t>
  </si>
  <si>
    <t>http://nces.ed.gov/collegenavigator/?q=University+of+Maryland&amp;s=all&amp;id=163286#admsns</t>
  </si>
  <si>
    <t>425+415</t>
  </si>
  <si>
    <t>http://nces.ed.gov/collegenavigator/?q=University+of+Maryland&amp;s=all&amp;id=163338#admsns</t>
  </si>
  <si>
    <t>http://www.goucher.edu/Documents/IR/Fact%20Book%202015-16.pdf</t>
  </si>
  <si>
    <t>535+535</t>
  </si>
  <si>
    <t>http://www.hood.edu/uploadedFiles/Hood_College/Home/Academics/Office_of_Institutional_Research/Facts_and_Figures/Fist-Time%20First-Year%20Freshmen%20Admission.pdf</t>
  </si>
  <si>
    <t>690+735</t>
  </si>
  <si>
    <t>http://nces.ed.gov/collegenavigator/?q=Johns+Hopkins+University&amp;s=all&amp;id=162928</t>
  </si>
  <si>
    <t>595+600</t>
  </si>
  <si>
    <t>http://www.loyola.edu/about/university-profile</t>
  </si>
  <si>
    <t>http://nces.ed.gov/collegenavigator/?q=McDaniel+College&amp;s=all&amp;id=164270</t>
  </si>
  <si>
    <t>515+505</t>
  </si>
  <si>
    <t>http://nces.ed.gov/collegenavigator/?q=Mount+St.+Mary%27s+University&amp;s=all&amp;id=163462#admsns</t>
  </si>
  <si>
    <t>540+530</t>
  </si>
  <si>
    <t>http://nces.ed.gov/collegenavigator/?q=Notre+Dame+of+Maryland+University&amp;s=all&amp;id=163578</t>
  </si>
  <si>
    <t>500+505</t>
  </si>
  <si>
    <t>http://nces.ed.gov/collegenavigator/?q=Stevenson+University&amp;s=all&amp;id=164173</t>
  </si>
  <si>
    <t>https://www.washcoll.edu/live/files/6048-fact-book-2015-16pdf</t>
  </si>
  <si>
    <t>640+605</t>
  </si>
  <si>
    <t>http://nces.ed.gov/collegenavigator/?q=American+University&amp;s=all&amp;pg=2&amp;id=131159</t>
  </si>
  <si>
    <t>560+565</t>
  </si>
  <si>
    <t>http://pir.cua.edu/res/docs/common-data/cds1516/Common-Data-Set-C-First-Time-First-Year-Freshman-Admission.pdf</t>
  </si>
  <si>
    <t>640+650</t>
  </si>
  <si>
    <t>http://nces.ed.gov/collegenavigator/?q=George+Washington+University&amp;s=all&amp;id=131469</t>
  </si>
  <si>
    <t>605+605</t>
  </si>
  <si>
    <t>http://nces.ed.gov/collegenavigator/?q=Georgetown+University&amp;s=all&amp;id=131496#admsns</t>
  </si>
  <si>
    <t>555+550</t>
  </si>
  <si>
    <t>http://nces.ed.gov/collegenavigator/?q=Howard+University&amp;s=all&amp;id=131520#admsns</t>
  </si>
  <si>
    <t>435+445</t>
  </si>
  <si>
    <t>590+645</t>
  </si>
  <si>
    <t>650+710</t>
  </si>
  <si>
    <t>495+500</t>
  </si>
  <si>
    <t>550+540</t>
  </si>
  <si>
    <t>750+750</t>
  </si>
  <si>
    <t>545+520</t>
  </si>
  <si>
    <t>730+775</t>
  </si>
  <si>
    <t>500+514</t>
  </si>
  <si>
    <t>723+713</t>
  </si>
  <si>
    <t>476+460</t>
  </si>
  <si>
    <t>513+504</t>
  </si>
  <si>
    <t>718+723</t>
  </si>
  <si>
    <t>460+455</t>
  </si>
  <si>
    <t>505+507</t>
  </si>
  <si>
    <t>465+458</t>
  </si>
  <si>
    <t>691+694 http://www.conncoll.edu/academics/registrar/class-schedules/</t>
  </si>
  <si>
    <t>604+587http://www.fairfield.edu/academics/academicresources/registrarsoffice/classschedulesearch/</t>
  </si>
  <si>
    <t>527+531http://unh-web-01.newhaven.edu/wwwmedia/schedules/fall_UG.html#F</t>
  </si>
  <si>
    <t>550+568 http://www.quinnipiac.edu/prebuilt/pdf/academics/Fall_2014_Course_Listings.pdf</t>
  </si>
  <si>
    <t>640+650 http://internet2.trincoll.edu/ptools/CourseListing.aspx</t>
  </si>
  <si>
    <t>675+685 https://iasext.wesleyan.edu/regprod/!wesmaps_page.html</t>
  </si>
  <si>
    <t>750+760 http://www2.mcdaniel.edu/Bus_Econ/clayco/4daymcd/ivy/FourDayWeeksintheIvyLeague.pdf</t>
  </si>
  <si>
    <t>740+730 http://www.bowdoin.edu/registrar/</t>
  </si>
  <si>
    <t>659+675 http://www.colby.edu/registraroffice/</t>
  </si>
  <si>
    <t>440+460 http://www.thomas.edu/academics/registrar/</t>
  </si>
  <si>
    <t>440+445 https://peportal.maine.edu/psp/PAPRD89_1/EMPLOYEE/CSPRDST/c/COMMUNITY_ACCESS.CLASS_SEARCH.GBL?dflt_inst=UMS05</t>
  </si>
  <si>
    <t>705+683 http://www2.mcdaniel.edu/Bus_Econ/clayco/4daymcd/ivy/FourDayWeeksintheIvyLeague.pdf</t>
  </si>
  <si>
    <t>485+495</t>
  </si>
  <si>
    <t>550+555</t>
  </si>
  <si>
    <t>475+475 https://webservices.vsc.edu/WebServices/WebServices?TOKENIDX=1729101346&amp;SS=2&amp;APP=ST&amp;CONSTITUENCY=WBAP</t>
  </si>
  <si>
    <t>685+700 http://www.middlebury.edu/middlebury_google_custom_search/go/registrar</t>
  </si>
  <si>
    <t>1124 com+ http://www2.mcdaniel.edu/Bus_Econ/clayco/4daymcd/state014/NYC/cuny.html</t>
  </si>
  <si>
    <t>1177 com+http://www2.mcdaniel.edu/Bus_Econ/clayco/4daymcd/state014/NYC/cuny.html</t>
  </si>
  <si>
    <t>425+450 http://www2.mcdaniel.edu/Bus_Econ/clayco/4daymcd/state014/NYC/cuny.html</t>
  </si>
  <si>
    <t>552+569</t>
  </si>
  <si>
    <t>640+620</t>
  </si>
  <si>
    <t>525+540</t>
  </si>
  <si>
    <t>575+ 610</t>
  </si>
  <si>
    <t>670+680</t>
  </si>
  <si>
    <t>485+460</t>
  </si>
  <si>
    <t>685+670 http://www2.mcdaniel.edu/Bus_Econ/clayco/4daymcd/State013/northeast/Four%20Day%20Weeks%20at%20Flagship%20Northeast%20Schools.htm</t>
  </si>
  <si>
    <t>450+445</t>
  </si>
  <si>
    <t>505+510</t>
  </si>
  <si>
    <t>625+635</t>
  </si>
  <si>
    <t>695+695</t>
  </si>
  <si>
    <t>595+590</t>
  </si>
  <si>
    <t>535+555</t>
  </si>
  <si>
    <t>580+570</t>
  </si>
  <si>
    <t>530+495</t>
  </si>
  <si>
    <t>425+435</t>
  </si>
  <si>
    <t>515+555</t>
  </si>
  <si>
    <t>512+520</t>
  </si>
  <si>
    <t>575+595</t>
  </si>
  <si>
    <t>535+530</t>
  </si>
  <si>
    <t>530+555</t>
  </si>
  <si>
    <t>600+605</t>
  </si>
  <si>
    <t>580+610</t>
  </si>
  <si>
    <t>645+675</t>
  </si>
  <si>
    <t>710+700</t>
  </si>
  <si>
    <t>500+495</t>
  </si>
  <si>
    <t>565+565</t>
  </si>
  <si>
    <t>630+620</t>
  </si>
  <si>
    <t>667+640</t>
  </si>
  <si>
    <t>605+660 ttp://www2.mcdaniel.edu/Bus_Econ/clayco/4daymcd/State013/northeast/Four%20Day%20Weeks%20at%20Flagship%20Northeast%20Schools.htm</t>
  </si>
  <si>
    <t>535+550</t>
  </si>
  <si>
    <t>560+600</t>
  </si>
  <si>
    <t>440+435</t>
  </si>
  <si>
    <t>484+475</t>
  </si>
  <si>
    <t>505+520</t>
  </si>
  <si>
    <t>515+535</t>
  </si>
  <si>
    <t>545+555</t>
  </si>
  <si>
    <t>540+550</t>
  </si>
  <si>
    <t>504+510</t>
  </si>
  <si>
    <t>550+520</t>
  </si>
  <si>
    <t>455+475</t>
  </si>
  <si>
    <t>420+445</t>
  </si>
  <si>
    <t>575+635</t>
  </si>
  <si>
    <t>540+555</t>
  </si>
  <si>
    <t>530+550</t>
  </si>
  <si>
    <t>520+545</t>
  </si>
  <si>
    <t>500+520</t>
  </si>
  <si>
    <t>490+500</t>
  </si>
  <si>
    <t>475+490</t>
  </si>
  <si>
    <t>460+465</t>
  </si>
  <si>
    <t>396+409</t>
  </si>
  <si>
    <t>515+515</t>
  </si>
  <si>
    <t>465+480</t>
  </si>
  <si>
    <t>525+510</t>
  </si>
  <si>
    <t>740+750</t>
  </si>
  <si>
    <t>500+510</t>
  </si>
  <si>
    <t>455+467</t>
  </si>
  <si>
    <t>565+580</t>
  </si>
  <si>
    <t>635+697</t>
  </si>
  <si>
    <t>566+565</t>
  </si>
  <si>
    <t>635+665</t>
  </si>
  <si>
    <t>430+435</t>
  </si>
  <si>
    <t>493+480</t>
  </si>
  <si>
    <t>489+477</t>
  </si>
  <si>
    <t>485+470</t>
  </si>
  <si>
    <t>535+515</t>
  </si>
  <si>
    <t>555+560</t>
  </si>
  <si>
    <t>625+680</t>
  </si>
  <si>
    <t>520+520</t>
  </si>
  <si>
    <t>645+640</t>
  </si>
  <si>
    <t>465+455</t>
  </si>
  <si>
    <t>710+715</t>
  </si>
  <si>
    <t>455+450</t>
  </si>
  <si>
    <t>470+465</t>
  </si>
  <si>
    <t>625+645</t>
  </si>
  <si>
    <t>540+565</t>
  </si>
  <si>
    <t>560+570</t>
  </si>
  <si>
    <t>485+525</t>
  </si>
  <si>
    <t>470+470</t>
  </si>
  <si>
    <t>610+615</t>
  </si>
  <si>
    <t>480+505</t>
  </si>
  <si>
    <t>525+530</t>
  </si>
  <si>
    <t>525+535</t>
  </si>
  <si>
    <t>715+720</t>
  </si>
  <si>
    <t>460+470</t>
  </si>
  <si>
    <t>575+570</t>
  </si>
  <si>
    <t>475+530</t>
  </si>
  <si>
    <t>519+533</t>
  </si>
  <si>
    <t>520+535</t>
  </si>
  <si>
    <t>549+549</t>
  </si>
  <si>
    <t>675+675</t>
  </si>
  <si>
    <t>695+755</t>
  </si>
  <si>
    <t>490+475</t>
  </si>
  <si>
    <t>580+623</t>
  </si>
  <si>
    <t>515+510</t>
  </si>
  <si>
    <t>510+517</t>
  </si>
  <si>
    <t>485+485</t>
  </si>
  <si>
    <t>635+690</t>
  </si>
  <si>
    <t>510+515</t>
  </si>
  <si>
    <t>450+455</t>
  </si>
  <si>
    <t>720+745</t>
  </si>
  <si>
    <t>535+545</t>
  </si>
  <si>
    <t>520+525</t>
  </si>
  <si>
    <t>515+530</t>
  </si>
  <si>
    <t>565+575</t>
  </si>
  <si>
    <t>640+660</t>
  </si>
  <si>
    <t>500+503</t>
  </si>
  <si>
    <t>490+490</t>
  </si>
  <si>
    <t>460+460</t>
  </si>
  <si>
    <t>480+470</t>
  </si>
  <si>
    <t>480+475</t>
  </si>
  <si>
    <t>470+480</t>
  </si>
  <si>
    <t>500+500</t>
  </si>
  <si>
    <t>580+615</t>
  </si>
  <si>
    <t>620+645</t>
  </si>
  <si>
    <t>568+556</t>
  </si>
  <si>
    <t>http://nces.ed.gov/collegenavigator/?q=Emerson+College&amp;s=all&amp;id=165662#admsns</t>
  </si>
  <si>
    <t>descripSAT'S</t>
  </si>
  <si>
    <t>count reten</t>
  </si>
  <si>
    <t>count grad</t>
  </si>
  <si>
    <t>SAT'SwEst</t>
  </si>
  <si>
    <t>SAT'SwEstSQ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</si>
</sst>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9.5"/>
      <color theme="1"/>
      <name val="Arial"/>
      <family val="2"/>
    </font>
    <font>
      <sz val="12"/>
      <color theme="1"/>
      <name val="Times New Roman"/>
      <family val="1"/>
    </font>
    <font>
      <sz val="12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1" applyAlignment="1">
      <alignment vertical="center" wrapText="1"/>
    </xf>
    <xf numFmtId="0" fontId="6" fillId="0" borderId="0" xfId="1" applyFont="1" applyAlignment="1">
      <alignment vertical="center" wrapText="1"/>
    </xf>
    <xf numFmtId="0" fontId="1" fillId="0" borderId="0" xfId="0" applyFont="1"/>
    <xf numFmtId="0" fontId="3" fillId="0" borderId="0" xfId="0" applyFont="1"/>
    <xf numFmtId="0" fontId="5" fillId="0" borderId="0" xfId="1"/>
    <xf numFmtId="0" fontId="7" fillId="0" borderId="0" xfId="1" applyFont="1"/>
    <xf numFmtId="0" fontId="5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indent="1"/>
    </xf>
    <xf numFmtId="0" fontId="8" fillId="0" borderId="0" xfId="1" applyFont="1"/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 indent="1"/>
    </xf>
    <xf numFmtId="2" fontId="0" fillId="0" borderId="0" xfId="0" applyNumberFormat="1"/>
    <xf numFmtId="0" fontId="5" fillId="0" borderId="0" xfId="1" applyAlignment="1">
      <alignment horizontal="left" vertical="center" indent="2"/>
    </xf>
    <xf numFmtId="0" fontId="5" fillId="0" borderId="0" xfId="1" applyAlignment="1">
      <alignment horizontal="left" vertical="center" wrapText="1" indent="2"/>
    </xf>
    <xf numFmtId="0" fontId="11" fillId="0" borderId="0" xfId="0" applyFont="1" applyAlignment="1">
      <alignment vertical="center"/>
    </xf>
    <xf numFmtId="0" fontId="5" fillId="0" borderId="0" xfId="1" applyAlignment="1">
      <alignment horizontal="left" vertical="center" indent="1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top" wrapText="1" indent="2"/>
    </xf>
    <xf numFmtId="0" fontId="5" fillId="0" borderId="0" xfId="1" applyAlignment="1">
      <alignment horizontal="left" vertical="center" indent="3"/>
    </xf>
    <xf numFmtId="0" fontId="13" fillId="0" borderId="0" xfId="0" applyFont="1"/>
    <xf numFmtId="0" fontId="13" fillId="0" borderId="0" xfId="1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5" fillId="0" borderId="0" xfId="1" applyAlignment="1">
      <alignment vertical="center" wrapText="1"/>
    </xf>
    <xf numFmtId="0" fontId="5" fillId="0" borderId="0" xfId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4" fillId="0" borderId="0" xfId="0" applyFont="1" applyAlignment="1">
      <alignment vertical="center"/>
    </xf>
    <xf numFmtId="3" fontId="0" fillId="0" borderId="0" xfId="0" applyNumberFormat="1"/>
    <xf numFmtId="0" fontId="15" fillId="0" borderId="0" xfId="0" applyFont="1"/>
    <xf numFmtId="0" fontId="2" fillId="0" borderId="0" xfId="0" applyFont="1"/>
    <xf numFmtId="0" fontId="16" fillId="0" borderId="0" xfId="0" applyFont="1" applyAlignment="1">
      <alignment vertical="center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1" fillId="0" borderId="0" xfId="0" applyNumberFormat="1" applyFont="1"/>
    <xf numFmtId="3" fontId="0" fillId="0" borderId="0" xfId="0" applyNumberFormat="1" applyAlignment="1">
      <alignment vertical="center" wrapText="1"/>
    </xf>
    <xf numFmtId="0" fontId="6" fillId="0" borderId="0" xfId="1" applyFont="1"/>
    <xf numFmtId="0" fontId="5" fillId="0" borderId="0" xfId="1" applyAlignment="1">
      <alignment vertical="center" wrapText="1"/>
    </xf>
    <xf numFmtId="0" fontId="5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5" fillId="0" borderId="0" xfId="1" applyAlignment="1">
      <alignment horizontal="left" vertical="center" wrapText="1"/>
    </xf>
    <xf numFmtId="3" fontId="0" fillId="0" borderId="0" xfId="0" applyNumberForma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/Friday_outcomes_data_enroll_xls_regress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7">
          <cell r="H97">
            <v>1995.9184549356223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en.wikipedia.org/wiki/Massachusetts_Institute_of_Technology" TargetMode="External"/><Relationship Id="rId671" Type="http://schemas.openxmlformats.org/officeDocument/2006/relationships/hyperlink" Target="https://en.wikipedia.org/wiki/Messiah_College" TargetMode="External"/><Relationship Id="rId769" Type="http://schemas.openxmlformats.org/officeDocument/2006/relationships/hyperlink" Target="https://en.wikipedia.org/wiki/Pittsburgh" TargetMode="External"/><Relationship Id="rId21" Type="http://schemas.openxmlformats.org/officeDocument/2006/relationships/hyperlink" Target="http://en.wikipedia.org/wiki/Bay_Path_University" TargetMode="External"/><Relationship Id="rId324" Type="http://schemas.openxmlformats.org/officeDocument/2006/relationships/hyperlink" Target="http://en.wikipedia.org/wiki/Concord,_New_Hampshire" TargetMode="External"/><Relationship Id="rId531" Type="http://schemas.openxmlformats.org/officeDocument/2006/relationships/hyperlink" Target="http://en.wikipedia.org/wiki/State_University_of_New_York_at_Morrisville" TargetMode="External"/><Relationship Id="rId629" Type="http://schemas.openxmlformats.org/officeDocument/2006/relationships/hyperlink" Target="https://en.wikipedia.org/wiki/Delaware_Valley_University" TargetMode="External"/><Relationship Id="rId170" Type="http://schemas.openxmlformats.org/officeDocument/2006/relationships/hyperlink" Target="http://en.wikipedia.org/wiki/Springfield,_Massachusetts" TargetMode="External"/><Relationship Id="rId836" Type="http://schemas.openxmlformats.org/officeDocument/2006/relationships/hyperlink" Target="https://en.wikipedia.org/wiki/Villa_Julie_College" TargetMode="External"/><Relationship Id="rId268" Type="http://schemas.openxmlformats.org/officeDocument/2006/relationships/hyperlink" Target="http://en.wikipedia.org/wiki/Castine,_Maine" TargetMode="External"/><Relationship Id="rId475" Type="http://schemas.openxmlformats.org/officeDocument/2006/relationships/hyperlink" Target="http://en.wikipedia.org/wiki/Manhattan_School_of_Music" TargetMode="External"/><Relationship Id="rId682" Type="http://schemas.openxmlformats.org/officeDocument/2006/relationships/hyperlink" Target="https://en.wikipedia.org/wiki/Point_Park_University" TargetMode="External"/><Relationship Id="rId32" Type="http://schemas.openxmlformats.org/officeDocument/2006/relationships/hyperlink" Target="http://en.wikipedia.org/wiki/Carnegie_Classification_of_Institutions_of_Higher_Education" TargetMode="External"/><Relationship Id="rId128" Type="http://schemas.openxmlformats.org/officeDocument/2006/relationships/hyperlink" Target="http://en.wikipedia.org/wiki/Carnegie_Classification_of_Institutions_of_Higher_Education" TargetMode="External"/><Relationship Id="rId335" Type="http://schemas.openxmlformats.org/officeDocument/2006/relationships/hyperlink" Target="http://en.wikipedia.org/wiki/Plymouth_State_University" TargetMode="External"/><Relationship Id="rId542" Type="http://schemas.openxmlformats.org/officeDocument/2006/relationships/hyperlink" Target="http://en.wikipedia.org/wiki/State_University_of_New_York_at_Oneonta" TargetMode="External"/><Relationship Id="rId181" Type="http://schemas.openxmlformats.org/officeDocument/2006/relationships/hyperlink" Target="http://en.wikipedia.org/wiki/Tufts_University" TargetMode="External"/><Relationship Id="rId402" Type="http://schemas.openxmlformats.org/officeDocument/2006/relationships/hyperlink" Target="http://en.wikipedia.org/wiki/Norwich_University" TargetMode="External"/><Relationship Id="rId847" Type="http://schemas.openxmlformats.org/officeDocument/2006/relationships/hyperlink" Target="https://en.wikipedia.org/wiki/Doctoral_university" TargetMode="External"/><Relationship Id="rId279" Type="http://schemas.openxmlformats.org/officeDocument/2006/relationships/hyperlink" Target="http://en.wikipedia.org/wiki/Carnegie_Classification_of_Institutions_of_Higher_Education" TargetMode="External"/><Relationship Id="rId486" Type="http://schemas.openxmlformats.org/officeDocument/2006/relationships/hyperlink" Target="http://en.wikipedia.org/wiki/New_York_Institute_of_Technology" TargetMode="External"/><Relationship Id="rId693" Type="http://schemas.openxmlformats.org/officeDocument/2006/relationships/hyperlink" Target="https://en.wikipedia.org/wiki/Swarthmore,_Pennsylvania" TargetMode="External"/><Relationship Id="rId707" Type="http://schemas.openxmlformats.org/officeDocument/2006/relationships/hyperlink" Target="https://en.wikipedia.org/wiki/Drexel_University" TargetMode="External"/><Relationship Id="rId43" Type="http://schemas.openxmlformats.org/officeDocument/2006/relationships/hyperlink" Target="http://en.wikipedia.org/wiki/Non-profit" TargetMode="External"/><Relationship Id="rId139" Type="http://schemas.openxmlformats.org/officeDocument/2006/relationships/hyperlink" Target="http://en.wikipedia.org/wiki/Non-profit" TargetMode="External"/><Relationship Id="rId346" Type="http://schemas.openxmlformats.org/officeDocument/2006/relationships/hyperlink" Target="http://en.wikipedia.org/wiki/Southern_New_Hampshire_University" TargetMode="External"/><Relationship Id="rId553" Type="http://schemas.openxmlformats.org/officeDocument/2006/relationships/hyperlink" Target="https://en.wikipedia.org/wiki/Newark,_New_Jersey" TargetMode="External"/><Relationship Id="rId760" Type="http://schemas.openxmlformats.org/officeDocument/2006/relationships/hyperlink" Target="https://en.wikipedia.org/wiki/Lock_Haven_University_of_Pennsylvania" TargetMode="External"/><Relationship Id="rId192" Type="http://schemas.openxmlformats.org/officeDocument/2006/relationships/hyperlink" Target="http://en.wikipedia.org/wiki/Research_university" TargetMode="External"/><Relationship Id="rId206" Type="http://schemas.openxmlformats.org/officeDocument/2006/relationships/hyperlink" Target="http://en.wikipedia.org/wiki/Springfield,_Massachusetts" TargetMode="External"/><Relationship Id="rId413" Type="http://schemas.openxmlformats.org/officeDocument/2006/relationships/hyperlink" Target="http://en.wikipedia.org/wiki/Craftsbury,_Vermont" TargetMode="External"/><Relationship Id="rId858" Type="http://schemas.openxmlformats.org/officeDocument/2006/relationships/hyperlink" Target="http://nutmeg.easternct.edu/universityrelations/NewsflashPDF/September2010.pdf" TargetMode="External"/><Relationship Id="rId497" Type="http://schemas.openxmlformats.org/officeDocument/2006/relationships/hyperlink" Target="http://en.wikipedia.org/wiki/St._Francis_College" TargetMode="External"/><Relationship Id="rId620" Type="http://schemas.openxmlformats.org/officeDocument/2006/relationships/hyperlink" Target="https://en.wikipedia.org/wiki/Pittsburgh" TargetMode="External"/><Relationship Id="rId718" Type="http://schemas.openxmlformats.org/officeDocument/2006/relationships/hyperlink" Target="https://en.wikipedia.org/wiki/Philadelphia" TargetMode="External"/><Relationship Id="rId357" Type="http://schemas.openxmlformats.org/officeDocument/2006/relationships/hyperlink" Target="http://en.wikipedia.org/wiki/University_of_New_Hampshire" TargetMode="External"/><Relationship Id="rId54" Type="http://schemas.openxmlformats.org/officeDocument/2006/relationships/hyperlink" Target="http://en.wikipedia.org/wiki/Worcester,_Massachusetts" TargetMode="External"/><Relationship Id="rId217" Type="http://schemas.openxmlformats.org/officeDocument/2006/relationships/hyperlink" Target="http://en.wikipedia.org/wiki/Wheelock_College" TargetMode="External"/><Relationship Id="rId564" Type="http://schemas.openxmlformats.org/officeDocument/2006/relationships/hyperlink" Target="https://en.wikipedia.org/wiki/William_Paterson_University" TargetMode="External"/><Relationship Id="rId771" Type="http://schemas.openxmlformats.org/officeDocument/2006/relationships/hyperlink" Target="https://en.wikipedia.org/wiki/Philadelphia" TargetMode="External"/><Relationship Id="rId869" Type="http://schemas.openxmlformats.org/officeDocument/2006/relationships/hyperlink" Target="http://www.thomas.edu/explore-about-thomas/fast-facts/" TargetMode="External"/><Relationship Id="rId424" Type="http://schemas.openxmlformats.org/officeDocument/2006/relationships/hyperlink" Target="http://en.wikipedia.org/wiki/Hunter_College" TargetMode="External"/><Relationship Id="rId631" Type="http://schemas.openxmlformats.org/officeDocument/2006/relationships/hyperlink" Target="https://en.wikipedia.org/wiki/DeSales_University" TargetMode="External"/><Relationship Id="rId729" Type="http://schemas.openxmlformats.org/officeDocument/2006/relationships/hyperlink" Target="https://en.wikipedia.org/wiki/Neumann_University" TargetMode="External"/><Relationship Id="rId270" Type="http://schemas.openxmlformats.org/officeDocument/2006/relationships/hyperlink" Target="http://en.wikipedia.org/wiki/Saint_Joseph%27s_College_of_Maine" TargetMode="External"/><Relationship Id="rId65" Type="http://schemas.openxmlformats.org/officeDocument/2006/relationships/hyperlink" Target="http://en.wikipedia.org/wiki/Elms_College" TargetMode="External"/><Relationship Id="rId130" Type="http://schemas.openxmlformats.org/officeDocument/2006/relationships/hyperlink" Target="http://en.wikipedia.org/wiki/Boston" TargetMode="External"/><Relationship Id="rId368" Type="http://schemas.openxmlformats.org/officeDocument/2006/relationships/hyperlink" Target="http://en.wikipedia.org/wiki/Carnegie_Classification_of_Institutions_of_Higher_Education" TargetMode="External"/><Relationship Id="rId575" Type="http://schemas.openxmlformats.org/officeDocument/2006/relationships/hyperlink" Target="https://en.wikipedia.org/wiki/College_of_Saint_Elizabeth" TargetMode="External"/><Relationship Id="rId782" Type="http://schemas.openxmlformats.org/officeDocument/2006/relationships/hyperlink" Target="https://en.wikipedia.org/wiki/Philadelphia" TargetMode="External"/><Relationship Id="rId228" Type="http://schemas.openxmlformats.org/officeDocument/2006/relationships/hyperlink" Target="http://en.wikipedia.org/wiki/Research_university" TargetMode="External"/><Relationship Id="rId435" Type="http://schemas.openxmlformats.org/officeDocument/2006/relationships/hyperlink" Target="http://en.wikipedia.org/wiki/Adelphi_University" TargetMode="External"/><Relationship Id="rId642" Type="http://schemas.openxmlformats.org/officeDocument/2006/relationships/hyperlink" Target="https://en.wikipedia.org/wiki/Reformed_Presbyterian_Church_of_North_America" TargetMode="External"/><Relationship Id="rId281" Type="http://schemas.openxmlformats.org/officeDocument/2006/relationships/hyperlink" Target="http://en.wikipedia.org/wiki/Orono,_Maine" TargetMode="External"/><Relationship Id="rId502" Type="http://schemas.openxmlformats.org/officeDocument/2006/relationships/hyperlink" Target="http://en.wikipedia.org/wiki/St._Thomas_Aquinas_College" TargetMode="External"/><Relationship Id="rId76" Type="http://schemas.openxmlformats.org/officeDocument/2006/relationships/hyperlink" Target="http://en.wikipedia.org/wiki/Carnegie_Classification_of_Institutions_of_Higher_Education" TargetMode="External"/><Relationship Id="rId141" Type="http://schemas.openxmlformats.org/officeDocument/2006/relationships/hyperlink" Target="http://en.wikipedia.org/wiki/Newbury_College_%28United_States%29" TargetMode="External"/><Relationship Id="rId379" Type="http://schemas.openxmlformats.org/officeDocument/2006/relationships/hyperlink" Target="http://en.wikipedia.org/wiki/Rutland_%28city%29,_Vermont" TargetMode="External"/><Relationship Id="rId586" Type="http://schemas.openxmlformats.org/officeDocument/2006/relationships/hyperlink" Target="https://en.wikipedia.org/wiki/Rider_University" TargetMode="External"/><Relationship Id="rId793" Type="http://schemas.openxmlformats.org/officeDocument/2006/relationships/hyperlink" Target="https://en.wikipedia.org/wiki/Morgan_State_University" TargetMode="External"/><Relationship Id="rId807" Type="http://schemas.openxmlformats.org/officeDocument/2006/relationships/hyperlink" Target="https://en.wikipedia.org/wiki/University_of_Maryland,_Baltimore_County" TargetMode="External"/><Relationship Id="rId7" Type="http://schemas.openxmlformats.org/officeDocument/2006/relationships/hyperlink" Target="http://en.wikipedia.org/wiki/Non-profit" TargetMode="External"/><Relationship Id="rId239" Type="http://schemas.openxmlformats.org/officeDocument/2006/relationships/hyperlink" Target="http://en.wikipedia.org/wiki/Carnegie_Classification_of_Institutions_of_Higher_Education" TargetMode="External"/><Relationship Id="rId446" Type="http://schemas.openxmlformats.org/officeDocument/2006/relationships/hyperlink" Target="http://en.wikipedia.org/wiki/College_of_New_Rochelle" TargetMode="External"/><Relationship Id="rId653" Type="http://schemas.openxmlformats.org/officeDocument/2006/relationships/hyperlink" Target="https://en.wikipedia.org/wiki/Haverford_College" TargetMode="External"/><Relationship Id="rId292" Type="http://schemas.openxmlformats.org/officeDocument/2006/relationships/hyperlink" Target="http://en.wikipedia.org/wiki/University_of_Maine_at_Machias" TargetMode="External"/><Relationship Id="rId306" Type="http://schemas.openxmlformats.org/officeDocument/2006/relationships/hyperlink" Target="http://www.umpi.edu/static/neasc/response-to-final-report.pdf%20%20average%20of%20two%20most%20recent" TargetMode="External"/><Relationship Id="rId860" Type="http://schemas.openxmlformats.org/officeDocument/2006/relationships/hyperlink" Target="http://www.wcsu.edu/academics/consumer.asp" TargetMode="External"/><Relationship Id="rId45" Type="http://schemas.openxmlformats.org/officeDocument/2006/relationships/hyperlink" Target="http://en.wikipedia.org/wiki/Bridgewater_State_University" TargetMode="External"/><Relationship Id="rId87" Type="http://schemas.openxmlformats.org/officeDocument/2006/relationships/hyperlink" Target="http://en.wikipedia.org/wiki/Public_university" TargetMode="External"/><Relationship Id="rId110" Type="http://schemas.openxmlformats.org/officeDocument/2006/relationships/hyperlink" Target="http://en.wikipedia.org/wiki/Cambridge,_Massachusetts" TargetMode="External"/><Relationship Id="rId348" Type="http://schemas.openxmlformats.org/officeDocument/2006/relationships/hyperlink" Target="http://en.wikipedia.org/wiki/Carnegie_Classification_of_Institutions_of_Higher_Education" TargetMode="External"/><Relationship Id="rId513" Type="http://schemas.openxmlformats.org/officeDocument/2006/relationships/hyperlink" Target="http://en.wikipedia.org/wiki/Yeshiva_University" TargetMode="External"/><Relationship Id="rId555" Type="http://schemas.openxmlformats.org/officeDocument/2006/relationships/hyperlink" Target="https://en.wikipedia.org/wiki/Mahwah,_New_Jersey" TargetMode="External"/><Relationship Id="rId597" Type="http://schemas.openxmlformats.org/officeDocument/2006/relationships/hyperlink" Target="https://en.wikipedia.org/wiki/List_of_colleges_and_universities_in_New_Jersey" TargetMode="External"/><Relationship Id="rId720" Type="http://schemas.openxmlformats.org/officeDocument/2006/relationships/hyperlink" Target="https://en.wikipedia.org/wiki/East_Whiteland_Township,_Chester_County,_Pennsylvania" TargetMode="External"/><Relationship Id="rId762" Type="http://schemas.openxmlformats.org/officeDocument/2006/relationships/hyperlink" Target="https://en.wikipedia.org/wiki/Millersville_University_of_Pennsylvania" TargetMode="External"/><Relationship Id="rId818" Type="http://schemas.openxmlformats.org/officeDocument/2006/relationships/hyperlink" Target="https://en.wikipedia.org/wiki/Hood_College" TargetMode="External"/><Relationship Id="rId152" Type="http://schemas.openxmlformats.org/officeDocument/2006/relationships/hyperlink" Target="http://en.wikipedia.org/wiki/Carnegie_Classification_of_Institutions_of_Higher_Education" TargetMode="External"/><Relationship Id="rId194" Type="http://schemas.openxmlformats.org/officeDocument/2006/relationships/hyperlink" Target="http://en.wikipedia.org/wiki/Dartmouth,_Massachusetts" TargetMode="External"/><Relationship Id="rId208" Type="http://schemas.openxmlformats.org/officeDocument/2006/relationships/hyperlink" Target="http://en.wikipedia.org/wiki/Carnegie_Classification_of_Institutions_of_Higher_Education" TargetMode="External"/><Relationship Id="rId415" Type="http://schemas.openxmlformats.org/officeDocument/2006/relationships/hyperlink" Target="http://en.wikipedia.org/wiki/University_of_Vermont" TargetMode="External"/><Relationship Id="rId457" Type="http://schemas.openxmlformats.org/officeDocument/2006/relationships/hyperlink" Target="http://en.wikipedia.org/wiki/Elmira_College" TargetMode="External"/><Relationship Id="rId622" Type="http://schemas.openxmlformats.org/officeDocument/2006/relationships/hyperlink" Target="https://en.wikipedia.org/wiki/Cedar_Crest_College" TargetMode="External"/><Relationship Id="rId261" Type="http://schemas.openxmlformats.org/officeDocument/2006/relationships/hyperlink" Target="http://en.wikipedia.org/wiki/University_of_Rhode_Island" TargetMode="External"/><Relationship Id="rId499" Type="http://schemas.openxmlformats.org/officeDocument/2006/relationships/hyperlink" Target="http://en.wikipedia.org/wiki/St._John%27s_University_%28New_York%29" TargetMode="External"/><Relationship Id="rId664" Type="http://schemas.openxmlformats.org/officeDocument/2006/relationships/hyperlink" Target="https://en.wikipedia.org/wiki/Easton,_Pennsylvania" TargetMode="External"/><Relationship Id="rId871" Type="http://schemas.openxmlformats.org/officeDocument/2006/relationships/hyperlink" Target="http://www.uma.edu/studentconsumerinfo.html" TargetMode="External"/><Relationship Id="rId14" Type="http://schemas.openxmlformats.org/officeDocument/2006/relationships/hyperlink" Target="http://en.wikipedia.org/wiki/Worcester,_Massachusetts" TargetMode="External"/><Relationship Id="rId56" Type="http://schemas.openxmlformats.org/officeDocument/2006/relationships/hyperlink" Target="http://en.wikipedia.org/wiki/Carnegie_Classification_of_Institutions_of_Higher_Education" TargetMode="External"/><Relationship Id="rId317" Type="http://schemas.openxmlformats.org/officeDocument/2006/relationships/hyperlink" Target="http://en.wikipedia.org/wiki/Dartmouth_College" TargetMode="External"/><Relationship Id="rId359" Type="http://schemas.openxmlformats.org/officeDocument/2006/relationships/hyperlink" Target="http://en.wikipedia.org/wiki/Carnegie_Classification_of_Institutions_of_Higher_Education" TargetMode="External"/><Relationship Id="rId524" Type="http://schemas.openxmlformats.org/officeDocument/2006/relationships/hyperlink" Target="http://en.wikipedia.org/wiki/Cornell_University_College_of_Veterinary_Medicine" TargetMode="External"/><Relationship Id="rId566" Type="http://schemas.openxmlformats.org/officeDocument/2006/relationships/hyperlink" Target="https://en.wikipedia.org/wiki/Bloomfield_College" TargetMode="External"/><Relationship Id="rId731" Type="http://schemas.openxmlformats.org/officeDocument/2006/relationships/hyperlink" Target="https://en.wikipedia.org/wiki/University_of_Pennsylvania" TargetMode="External"/><Relationship Id="rId773" Type="http://schemas.openxmlformats.org/officeDocument/2006/relationships/hyperlink" Target="https://en.wikipedia.org/wiki/Reading,_Pennsylvania" TargetMode="External"/><Relationship Id="rId98" Type="http://schemas.openxmlformats.org/officeDocument/2006/relationships/hyperlink" Target="http://en.wikipedia.org/wiki/Amherst,_Massachusetts" TargetMode="External"/><Relationship Id="rId121" Type="http://schemas.openxmlformats.org/officeDocument/2006/relationships/hyperlink" Target="http://en.wikipedia.org/wiki/Massachusetts_Maritime_Academy" TargetMode="External"/><Relationship Id="rId163" Type="http://schemas.openxmlformats.org/officeDocument/2006/relationships/hyperlink" Target="http://en.wikipedia.org/wiki/Non-profit" TargetMode="External"/><Relationship Id="rId219" Type="http://schemas.openxmlformats.org/officeDocument/2006/relationships/hyperlink" Target="http://en.wikipedia.org/wiki/Non-profit" TargetMode="External"/><Relationship Id="rId370" Type="http://schemas.openxmlformats.org/officeDocument/2006/relationships/hyperlink" Target="http://en.wikipedia.org/wiki/Burlington,_Vermont" TargetMode="External"/><Relationship Id="rId426" Type="http://schemas.openxmlformats.org/officeDocument/2006/relationships/hyperlink" Target="http://en.wikipedia.org/wiki/Lehman_College" TargetMode="External"/><Relationship Id="rId633" Type="http://schemas.openxmlformats.org/officeDocument/2006/relationships/hyperlink" Target="https://en.wikipedia.org/wiki/Dickinson_College" TargetMode="External"/><Relationship Id="rId829" Type="http://schemas.openxmlformats.org/officeDocument/2006/relationships/hyperlink" Target="https://en.wikipedia.org/wiki/Westminster,_Maryland" TargetMode="External"/><Relationship Id="rId230" Type="http://schemas.openxmlformats.org/officeDocument/2006/relationships/hyperlink" Target="http://en.wikipedia.org/wiki/Worcester,_Massachusetts" TargetMode="External"/><Relationship Id="rId468" Type="http://schemas.openxmlformats.org/officeDocument/2006/relationships/hyperlink" Target="http://en.wikipedia.org/wiki/Juilliard_School" TargetMode="External"/><Relationship Id="rId675" Type="http://schemas.openxmlformats.org/officeDocument/2006/relationships/hyperlink" Target="https://en.wikipedia.org/wiki/Moravian_Church_in_America" TargetMode="External"/><Relationship Id="rId840" Type="http://schemas.openxmlformats.org/officeDocument/2006/relationships/hyperlink" Target="https://en.wikipedia.org/wiki/Washington_College" TargetMode="External"/><Relationship Id="rId882" Type="http://schemas.openxmlformats.org/officeDocument/2006/relationships/hyperlink" Target="http://nces.ed.gov/collegenavigator/?q=University+of+Pittsburgh&amp;s=all&amp;id=215293" TargetMode="External"/><Relationship Id="rId25" Type="http://schemas.openxmlformats.org/officeDocument/2006/relationships/hyperlink" Target="http://en.wikipedia.org/wiki/Becker_College" TargetMode="External"/><Relationship Id="rId67" Type="http://schemas.openxmlformats.org/officeDocument/2006/relationships/hyperlink" Target="http://en.wikipedia.org/wiki/Non-profit" TargetMode="External"/><Relationship Id="rId272" Type="http://schemas.openxmlformats.org/officeDocument/2006/relationships/hyperlink" Target="http://en.wikipedia.org/wiki/Roman_Catholic_Church" TargetMode="External"/><Relationship Id="rId328" Type="http://schemas.openxmlformats.org/officeDocument/2006/relationships/hyperlink" Target="http://en.wikipedia.org/wiki/Carnegie_Classification_of_Institutions_of_Higher_Education" TargetMode="External"/><Relationship Id="rId535" Type="http://schemas.openxmlformats.org/officeDocument/2006/relationships/hyperlink" Target="http://en.wikipedia.org/wiki/Empire_State_College" TargetMode="External"/><Relationship Id="rId577" Type="http://schemas.openxmlformats.org/officeDocument/2006/relationships/hyperlink" Target="https://en.wikipedia.org/wiki/Madison,_New_Jersey" TargetMode="External"/><Relationship Id="rId700" Type="http://schemas.openxmlformats.org/officeDocument/2006/relationships/hyperlink" Target="https://en.wikipedia.org/wiki/Westminster_College_%28Pennsylvania%29" TargetMode="External"/><Relationship Id="rId742" Type="http://schemas.openxmlformats.org/officeDocument/2006/relationships/hyperlink" Target="https://en.wikipedia.org/wiki/University_of_the_Sciences" TargetMode="External"/><Relationship Id="rId132" Type="http://schemas.openxmlformats.org/officeDocument/2006/relationships/hyperlink" Target="http://en.wikipedia.org/wiki/Carnegie_Classification_of_Institutions_of_Higher_Education" TargetMode="External"/><Relationship Id="rId174" Type="http://schemas.openxmlformats.org/officeDocument/2006/relationships/hyperlink" Target="http://en.wikipedia.org/wiki/Easton,_Massachusetts" TargetMode="External"/><Relationship Id="rId381" Type="http://schemas.openxmlformats.org/officeDocument/2006/relationships/hyperlink" Target="http://en.wikipedia.org/wiki/Carnegie_Classification_of_Institutions_of_Higher_Education" TargetMode="External"/><Relationship Id="rId602" Type="http://schemas.openxmlformats.org/officeDocument/2006/relationships/hyperlink" Target="https://en.wikipedia.org/wiki/Reading,_Pennsylvania" TargetMode="External"/><Relationship Id="rId784" Type="http://schemas.openxmlformats.org/officeDocument/2006/relationships/hyperlink" Target="https://en.wikipedia.org/wiki/Newark,_Delaware" TargetMode="External"/><Relationship Id="rId241" Type="http://schemas.openxmlformats.org/officeDocument/2006/relationships/hyperlink" Target="http://en.wikipedia.org/wiki/Providence,_Rhode_Island" TargetMode="External"/><Relationship Id="rId437" Type="http://schemas.openxmlformats.org/officeDocument/2006/relationships/hyperlink" Target="http://en.wikipedia.org/wiki/Alfred_University" TargetMode="External"/><Relationship Id="rId479" Type="http://schemas.openxmlformats.org/officeDocument/2006/relationships/hyperlink" Target="http://en.wikipedia.org/wiki/Medaille_College" TargetMode="External"/><Relationship Id="rId644" Type="http://schemas.openxmlformats.org/officeDocument/2006/relationships/hyperlink" Target="https://en.wikipedia.org/wiki/Gettysburg,_Pennsylvania" TargetMode="External"/><Relationship Id="rId686" Type="http://schemas.openxmlformats.org/officeDocument/2006/relationships/hyperlink" Target="https://en.wikipedia.org/wiki/Saint_Vincent_College" TargetMode="External"/><Relationship Id="rId851" Type="http://schemas.openxmlformats.org/officeDocument/2006/relationships/hyperlink" Target="https://en.wikipedia.org/wiki/Doctoral_university" TargetMode="External"/><Relationship Id="rId36" Type="http://schemas.openxmlformats.org/officeDocument/2006/relationships/hyperlink" Target="http://en.wikipedia.org/wiki/Carnegie_Classification_of_Institutions_of_Higher_Education" TargetMode="External"/><Relationship Id="rId283" Type="http://schemas.openxmlformats.org/officeDocument/2006/relationships/hyperlink" Target="http://en.wikipedia.org/wiki/University_of_Maine_at_Augusta" TargetMode="External"/><Relationship Id="rId339" Type="http://schemas.openxmlformats.org/officeDocument/2006/relationships/hyperlink" Target="http://en.wikipedia.org/wiki/Nashua,_New_Hampshire" TargetMode="External"/><Relationship Id="rId490" Type="http://schemas.openxmlformats.org/officeDocument/2006/relationships/hyperlink" Target="http://en.wikipedia.org/wiki/Roberts_Wesleyan_College" TargetMode="External"/><Relationship Id="rId504" Type="http://schemas.openxmlformats.org/officeDocument/2006/relationships/hyperlink" Target="http://en.wikipedia.org/wiki/The_Sage_Colleges" TargetMode="External"/><Relationship Id="rId546" Type="http://schemas.openxmlformats.org/officeDocument/2006/relationships/hyperlink" Target="http://en.wikipedia.org/wiki/State_University_of_New_York_at_Purchase" TargetMode="External"/><Relationship Id="rId711" Type="http://schemas.openxmlformats.org/officeDocument/2006/relationships/hyperlink" Target="https://en.wikipedia.org/wiki/Roman_Catholic_Church" TargetMode="External"/><Relationship Id="rId753" Type="http://schemas.openxmlformats.org/officeDocument/2006/relationships/hyperlink" Target="https://en.wikipedia.org/wiki/California_University_of_Pennsylvania" TargetMode="External"/><Relationship Id="rId78" Type="http://schemas.openxmlformats.org/officeDocument/2006/relationships/hyperlink" Target="http://en.wikipedia.org/wiki/Beverly,_Massachusetts" TargetMode="External"/><Relationship Id="rId101" Type="http://schemas.openxmlformats.org/officeDocument/2006/relationships/hyperlink" Target="http://en.wikipedia.org/wiki/Harvard_University" TargetMode="External"/><Relationship Id="rId143" Type="http://schemas.openxmlformats.org/officeDocument/2006/relationships/hyperlink" Target="http://en.wikipedia.org/wiki/Non-profit" TargetMode="External"/><Relationship Id="rId185" Type="http://schemas.openxmlformats.org/officeDocument/2006/relationships/hyperlink" Target="http://en.wikipedia.org/wiki/University_of_Massachusetts_Amherst" TargetMode="External"/><Relationship Id="rId350" Type="http://schemas.openxmlformats.org/officeDocument/2006/relationships/hyperlink" Target="http://en.wikipedia.org/wiki/Warner,_New_Hampshire" TargetMode="External"/><Relationship Id="rId406" Type="http://schemas.openxmlformats.org/officeDocument/2006/relationships/hyperlink" Target="http://en.wikipedia.org/wiki/Colchester,_Vermont" TargetMode="External"/><Relationship Id="rId588" Type="http://schemas.openxmlformats.org/officeDocument/2006/relationships/hyperlink" Target="https://en.wikipedia.org/wiki/Jersey_City,_New_Jersey" TargetMode="External"/><Relationship Id="rId795" Type="http://schemas.openxmlformats.org/officeDocument/2006/relationships/hyperlink" Target="https://en.wikipedia.org/wiki/Salisbury_University" TargetMode="External"/><Relationship Id="rId809" Type="http://schemas.openxmlformats.org/officeDocument/2006/relationships/hyperlink" Target="https://en.wikipedia.org/wiki/College_Park,_Maryland" TargetMode="External"/><Relationship Id="rId9" Type="http://schemas.openxmlformats.org/officeDocument/2006/relationships/hyperlink" Target="http://en.wikipedia.org/wiki/Anna_Maria_College" TargetMode="External"/><Relationship Id="rId210" Type="http://schemas.openxmlformats.org/officeDocument/2006/relationships/hyperlink" Target="http://en.wikipedia.org/wiki/Westfield,_Massachusetts" TargetMode="External"/><Relationship Id="rId392" Type="http://schemas.openxmlformats.org/officeDocument/2006/relationships/hyperlink" Target="http://en.wikipedia.org/wiki/Lyndon_State_College" TargetMode="External"/><Relationship Id="rId448" Type="http://schemas.openxmlformats.org/officeDocument/2006/relationships/hyperlink" Target="http://en.wikipedia.org/wiki/Columbia_University" TargetMode="External"/><Relationship Id="rId613" Type="http://schemas.openxmlformats.org/officeDocument/2006/relationships/hyperlink" Target="https://en.wikipedia.org/wiki/Cabrini_College" TargetMode="External"/><Relationship Id="rId655" Type="http://schemas.openxmlformats.org/officeDocument/2006/relationships/hyperlink" Target="https://en.wikipedia.org/wiki/Juniata_College" TargetMode="External"/><Relationship Id="rId697" Type="http://schemas.openxmlformats.org/officeDocument/2006/relationships/hyperlink" Target="https://en.wikipedia.org/wiki/Collegeville,_Pennsylvania" TargetMode="External"/><Relationship Id="rId820" Type="http://schemas.openxmlformats.org/officeDocument/2006/relationships/hyperlink" Target="https://en.wikipedia.org/wiki/Johns_Hopkins_University" TargetMode="External"/><Relationship Id="rId862" Type="http://schemas.openxmlformats.org/officeDocument/2006/relationships/hyperlink" Target="http://www.hartford.edu/aboutuofh/office-institutional-effectiveness/files/pdf/2014-2015%20Factbook/FactBookFall2014.pdf" TargetMode="External"/><Relationship Id="rId252" Type="http://schemas.openxmlformats.org/officeDocument/2006/relationships/hyperlink" Target="http://en.wikipedia.org/wiki/Providence,_Rhode_Island" TargetMode="External"/><Relationship Id="rId294" Type="http://schemas.openxmlformats.org/officeDocument/2006/relationships/hyperlink" Target="http://en.wikipedia.org/wiki/Liberal_arts_colleges_in_the_United_States" TargetMode="External"/><Relationship Id="rId308" Type="http://schemas.openxmlformats.org/officeDocument/2006/relationships/hyperlink" Target="http://en.wikipedia.org/wiki/Keene,_New_Hampshire" TargetMode="External"/><Relationship Id="rId515" Type="http://schemas.openxmlformats.org/officeDocument/2006/relationships/hyperlink" Target="http://en.wikipedia.org/wiki/State_University_of_New_York_at_Stony_Brook" TargetMode="External"/><Relationship Id="rId722" Type="http://schemas.openxmlformats.org/officeDocument/2006/relationships/hyperlink" Target="https://en.wikipedia.org/wiki/Philadelphia" TargetMode="External"/><Relationship Id="rId47" Type="http://schemas.openxmlformats.org/officeDocument/2006/relationships/hyperlink" Target="http://en.wikipedia.org/wiki/Public_university" TargetMode="External"/><Relationship Id="rId89" Type="http://schemas.openxmlformats.org/officeDocument/2006/relationships/hyperlink" Target="http://en.wikipedia.org/wiki/Framingham_State_University" TargetMode="External"/><Relationship Id="rId112" Type="http://schemas.openxmlformats.org/officeDocument/2006/relationships/hyperlink" Target="http://en.wikipedia.org/wiki/Carnegie_Classification_of_Institutions_of_Higher_Education" TargetMode="External"/><Relationship Id="rId154" Type="http://schemas.openxmlformats.org/officeDocument/2006/relationships/hyperlink" Target="http://en.wikipedia.org/wiki/Weston,_Massachusetts" TargetMode="External"/><Relationship Id="rId361" Type="http://schemas.openxmlformats.org/officeDocument/2006/relationships/hyperlink" Target="http://en.wikipedia.org/wiki/Manchester,_New_Hampshire" TargetMode="External"/><Relationship Id="rId557" Type="http://schemas.openxmlformats.org/officeDocument/2006/relationships/hyperlink" Target="https://en.wikipedia.org/wiki/Galloway_Township,_New_Jersey" TargetMode="External"/><Relationship Id="rId599" Type="http://schemas.openxmlformats.org/officeDocument/2006/relationships/hyperlink" Target="https://en.wikipedia.org/wiki/List_of_colleges_and_universities_in_New_Jersey" TargetMode="External"/><Relationship Id="rId764" Type="http://schemas.openxmlformats.org/officeDocument/2006/relationships/hyperlink" Target="https://en.wikipedia.org/wiki/Slippery_Rock_University_of_Pennsylvania" TargetMode="External"/><Relationship Id="rId196" Type="http://schemas.openxmlformats.org/officeDocument/2006/relationships/hyperlink" Target="http://en.wikipedia.org/wiki/Carnegie_Classification_of_Institutions_of_Higher_Education" TargetMode="External"/><Relationship Id="rId417" Type="http://schemas.openxmlformats.org/officeDocument/2006/relationships/hyperlink" Target="http://en.wikipedia.org/wiki/Carnegie_Classification_of_Institutions_of_Higher_Education" TargetMode="External"/><Relationship Id="rId459" Type="http://schemas.openxmlformats.org/officeDocument/2006/relationships/hyperlink" Target="http://en.wikipedia.org/wiki/Fordham_University" TargetMode="External"/><Relationship Id="rId624" Type="http://schemas.openxmlformats.org/officeDocument/2006/relationships/hyperlink" Target="https://en.wikipedia.org/wiki/Central_Penn_College" TargetMode="External"/><Relationship Id="rId666" Type="http://schemas.openxmlformats.org/officeDocument/2006/relationships/hyperlink" Target="https://en.wikipedia.org/wiki/Annville,_Pennsylvania" TargetMode="External"/><Relationship Id="rId831" Type="http://schemas.openxmlformats.org/officeDocument/2006/relationships/hyperlink" Target="https://en.wikipedia.org/wiki/Emmitsburg,_Maryland" TargetMode="External"/><Relationship Id="rId873" Type="http://schemas.openxmlformats.org/officeDocument/2006/relationships/hyperlink" Target="https://mycampus.maine.edu/c/document_library/get_file?p_l_id=2302886&amp;folderId=1572572&amp;name=DLFE-15105.pdf" TargetMode="External"/><Relationship Id="rId16" Type="http://schemas.openxmlformats.org/officeDocument/2006/relationships/hyperlink" Target="http://en.wikipedia.org/wiki/Carnegie_Classification_of_Institutions_of_Higher_Education" TargetMode="External"/><Relationship Id="rId221" Type="http://schemas.openxmlformats.org/officeDocument/2006/relationships/hyperlink" Target="http://en.wikipedia.org/wiki/Williams_College" TargetMode="External"/><Relationship Id="rId263" Type="http://schemas.openxmlformats.org/officeDocument/2006/relationships/hyperlink" Target="http://www.oir.uconn.edu/Retention_Graduation_November_2013_Campus.pdf" TargetMode="External"/><Relationship Id="rId319" Type="http://schemas.openxmlformats.org/officeDocument/2006/relationships/hyperlink" Target="http://en.wikipedia.org/wiki/Carnegie_Classification_of_Institutions_of_Higher_Education" TargetMode="External"/><Relationship Id="rId470" Type="http://schemas.openxmlformats.org/officeDocument/2006/relationships/hyperlink" Target="http://en.wikipedia.org/wiki/The_King%27s_College_%28New_York%29" TargetMode="External"/><Relationship Id="rId526" Type="http://schemas.openxmlformats.org/officeDocument/2006/relationships/hyperlink" Target="http://en.wikipedia.org/wiki/Alfred_State_College" TargetMode="External"/><Relationship Id="rId58" Type="http://schemas.openxmlformats.org/officeDocument/2006/relationships/hyperlink" Target="http://en.wikipedia.org/wiki/Worcester,_Massachusetts" TargetMode="External"/><Relationship Id="rId123" Type="http://schemas.openxmlformats.org/officeDocument/2006/relationships/hyperlink" Target="http://en.wikipedia.org/wiki/Public_university" TargetMode="External"/><Relationship Id="rId330" Type="http://schemas.openxmlformats.org/officeDocument/2006/relationships/hyperlink" Target="http://en.wikipedia.org/wiki/Manchester,_New_Hampshire" TargetMode="External"/><Relationship Id="rId568" Type="http://schemas.openxmlformats.org/officeDocument/2006/relationships/hyperlink" Target="https://en.wikipedia.org/wiki/List_of_colleges_and_universities_in_New_Jersey" TargetMode="External"/><Relationship Id="rId733" Type="http://schemas.openxmlformats.org/officeDocument/2006/relationships/hyperlink" Target="https://en.wikipedia.org/wiki/Philadelphia_University" TargetMode="External"/><Relationship Id="rId775" Type="http://schemas.openxmlformats.org/officeDocument/2006/relationships/hyperlink" Target="https://en.wikipedia.org/wiki/Arcadia_University" TargetMode="External"/><Relationship Id="rId165" Type="http://schemas.openxmlformats.org/officeDocument/2006/relationships/hyperlink" Target="http://en.wikipedia.org/wiki/Smith_College" TargetMode="External"/><Relationship Id="rId372" Type="http://schemas.openxmlformats.org/officeDocument/2006/relationships/hyperlink" Target="http://en.wikipedia.org/wiki/Castleton_State_College" TargetMode="External"/><Relationship Id="rId428" Type="http://schemas.openxmlformats.org/officeDocument/2006/relationships/hyperlink" Target="http://en.wikipedia.org/wiki/New_York_City_College_of_Technology" TargetMode="External"/><Relationship Id="rId635" Type="http://schemas.openxmlformats.org/officeDocument/2006/relationships/hyperlink" Target="https://en.wikipedia.org/wiki/Elizabethtown_College" TargetMode="External"/><Relationship Id="rId677" Type="http://schemas.openxmlformats.org/officeDocument/2006/relationships/hyperlink" Target="https://en.wikipedia.org/wiki/Cresson_Township,_Cambria_County,_Pennsylvania" TargetMode="External"/><Relationship Id="rId800" Type="http://schemas.openxmlformats.org/officeDocument/2006/relationships/hyperlink" Target="https://en.wikipedia.org/wiki/Towson,_Maryland" TargetMode="External"/><Relationship Id="rId842" Type="http://schemas.openxmlformats.org/officeDocument/2006/relationships/hyperlink" Target="https://en.wikipedia.org/wiki/American_University" TargetMode="External"/><Relationship Id="rId232" Type="http://schemas.openxmlformats.org/officeDocument/2006/relationships/hyperlink" Target="http://en.wikipedia.org/wiki/Carnegie_Classification_of_Institutions_of_Higher_Education" TargetMode="External"/><Relationship Id="rId274" Type="http://schemas.openxmlformats.org/officeDocument/2006/relationships/hyperlink" Target="http://en.wikipedia.org/wiki/Thomas_College" TargetMode="External"/><Relationship Id="rId481" Type="http://schemas.openxmlformats.org/officeDocument/2006/relationships/hyperlink" Target="http://en.wikipedia.org/wiki/Metropolitan_College_of_New_York" TargetMode="External"/><Relationship Id="rId702" Type="http://schemas.openxmlformats.org/officeDocument/2006/relationships/hyperlink" Target="https://en.wikipedia.org/wiki/Wilson_College_%28Pennsylvania%29" TargetMode="External"/><Relationship Id="rId884" Type="http://schemas.openxmlformats.org/officeDocument/2006/relationships/hyperlink" Target="https://webadvisor.sacredheart.edu/WebAdvisor/WebAdvisor?TOKENIDX=7638014473&amp;type=M&amp;constituency=WBAP&amp;pid=CORE-WBAP" TargetMode="External"/><Relationship Id="rId27" Type="http://schemas.openxmlformats.org/officeDocument/2006/relationships/hyperlink" Target="http://en.wikipedia.org/wiki/Non-profit" TargetMode="External"/><Relationship Id="rId69" Type="http://schemas.openxmlformats.org/officeDocument/2006/relationships/hyperlink" Target="http://en.wikipedia.org/wiki/Emerson_College" TargetMode="External"/><Relationship Id="rId134" Type="http://schemas.openxmlformats.org/officeDocument/2006/relationships/hyperlink" Target="http://en.wikipedia.org/wiki/South_Hadley,_Massachusetts" TargetMode="External"/><Relationship Id="rId537" Type="http://schemas.openxmlformats.org/officeDocument/2006/relationships/hyperlink" Target="http://en.wikipedia.org/wiki/State_University_of_New_York_at_Cortland" TargetMode="External"/><Relationship Id="rId579" Type="http://schemas.openxmlformats.org/officeDocument/2006/relationships/hyperlink" Target="https://en.wikipedia.org/wiki/Felician_College" TargetMode="External"/><Relationship Id="rId744" Type="http://schemas.openxmlformats.org/officeDocument/2006/relationships/hyperlink" Target="https://en.wikipedia.org/wiki/Thomas_Jefferson_University" TargetMode="External"/><Relationship Id="rId786" Type="http://schemas.openxmlformats.org/officeDocument/2006/relationships/hyperlink" Target="https://en.wikipedia.org/wiki/Dover,_Delaware" TargetMode="External"/><Relationship Id="rId80" Type="http://schemas.openxmlformats.org/officeDocument/2006/relationships/hyperlink" Target="http://en.wikipedia.org/wiki/Carnegie_Classification_of_Institutions_of_Higher_Education" TargetMode="External"/><Relationship Id="rId176" Type="http://schemas.openxmlformats.org/officeDocument/2006/relationships/hyperlink" Target="http://en.wikipedia.org/wiki/Carnegie_Classification_of_Institutions_of_Higher_Education" TargetMode="External"/><Relationship Id="rId341" Type="http://schemas.openxmlformats.org/officeDocument/2006/relationships/hyperlink" Target="http://en.wikipedia.org/wiki/Carnegie_Classification_of_Institutions_of_Higher_Education" TargetMode="External"/><Relationship Id="rId383" Type="http://schemas.openxmlformats.org/officeDocument/2006/relationships/hyperlink" Target="http://en.wikipedia.org/wiki/Plainfield,_Vermont" TargetMode="External"/><Relationship Id="rId439" Type="http://schemas.openxmlformats.org/officeDocument/2006/relationships/hyperlink" Target="http://en.wikipedia.org/wiki/Barnard_College" TargetMode="External"/><Relationship Id="rId590" Type="http://schemas.openxmlformats.org/officeDocument/2006/relationships/hyperlink" Target="https://en.wikipedia.org/wiki/South_Orange,_New_Jersey" TargetMode="External"/><Relationship Id="rId604" Type="http://schemas.openxmlformats.org/officeDocument/2006/relationships/hyperlink" Target="https://en.wikipedia.org/wiki/Allegheny_College" TargetMode="External"/><Relationship Id="rId646" Type="http://schemas.openxmlformats.org/officeDocument/2006/relationships/hyperlink" Target="https://en.wikipedia.org/wiki/Grove_City_College" TargetMode="External"/><Relationship Id="rId811" Type="http://schemas.openxmlformats.org/officeDocument/2006/relationships/hyperlink" Target="https://en.wikipedia.org/wiki/Princess_Anne,_Maryland" TargetMode="External"/><Relationship Id="rId201" Type="http://schemas.openxmlformats.org/officeDocument/2006/relationships/hyperlink" Target="http://en.wikipedia.org/wiki/Wellesley_College" TargetMode="External"/><Relationship Id="rId243" Type="http://schemas.openxmlformats.org/officeDocument/2006/relationships/hyperlink" Target="http://en.wikipedia.org/wiki/Naval_War_College" TargetMode="External"/><Relationship Id="rId285" Type="http://schemas.openxmlformats.org/officeDocument/2006/relationships/hyperlink" Target="http://en.wikipedia.org/wiki/Carnegie_Classification_of_Institutions_of_Higher_Education" TargetMode="External"/><Relationship Id="rId450" Type="http://schemas.openxmlformats.org/officeDocument/2006/relationships/hyperlink" Target="http://en.wikipedia.org/wiki/Cooper_Union" TargetMode="External"/><Relationship Id="rId506" Type="http://schemas.openxmlformats.org/officeDocument/2006/relationships/hyperlink" Target="http://en.wikipedia.org/wiki/Union_College" TargetMode="External"/><Relationship Id="rId688" Type="http://schemas.openxmlformats.org/officeDocument/2006/relationships/hyperlink" Target="https://en.wikipedia.org/wiki/Seton_Hill_University" TargetMode="External"/><Relationship Id="rId853" Type="http://schemas.openxmlformats.org/officeDocument/2006/relationships/hyperlink" Target="https://en.wikipedia.org/wiki/Masters_university" TargetMode="External"/><Relationship Id="rId38" Type="http://schemas.openxmlformats.org/officeDocument/2006/relationships/hyperlink" Target="http://en.wikipedia.org/wiki/Boston" TargetMode="External"/><Relationship Id="rId103" Type="http://schemas.openxmlformats.org/officeDocument/2006/relationships/hyperlink" Target="http://en.wikipedia.org/wiki/Non-profit" TargetMode="External"/><Relationship Id="rId310" Type="http://schemas.openxmlformats.org/officeDocument/2006/relationships/hyperlink" Target="http://en.wikipedia.org/wiki/Colby-Sawyer_College" TargetMode="External"/><Relationship Id="rId492" Type="http://schemas.openxmlformats.org/officeDocument/2006/relationships/hyperlink" Target="http://en.wikipedia.org/wiki/Russell_Sage_College" TargetMode="External"/><Relationship Id="rId548" Type="http://schemas.openxmlformats.org/officeDocument/2006/relationships/hyperlink" Target="https://en.wikipedia.org/wiki/Montclair_State_University" TargetMode="External"/><Relationship Id="rId713" Type="http://schemas.openxmlformats.org/officeDocument/2006/relationships/hyperlink" Target="https://en.wikipedia.org/wiki/Radnor_Township,_Delaware_County,_Pennsylvania" TargetMode="External"/><Relationship Id="rId755" Type="http://schemas.openxmlformats.org/officeDocument/2006/relationships/hyperlink" Target="https://en.wikipedia.org/wiki/Clarion_University_of_Pennsylvania" TargetMode="External"/><Relationship Id="rId797" Type="http://schemas.openxmlformats.org/officeDocument/2006/relationships/hyperlink" Target="https://en.wikipedia.org/wiki/St._Mary%27s_College_of_Maryland" TargetMode="External"/><Relationship Id="rId91" Type="http://schemas.openxmlformats.org/officeDocument/2006/relationships/hyperlink" Target="http://en.wikipedia.org/wiki/Public_university" TargetMode="External"/><Relationship Id="rId145" Type="http://schemas.openxmlformats.org/officeDocument/2006/relationships/hyperlink" Target="http://en.wikipedia.org/wiki/Northeastern_University" TargetMode="External"/><Relationship Id="rId187" Type="http://schemas.openxmlformats.org/officeDocument/2006/relationships/hyperlink" Target="http://en.wikipedia.org/wiki/Public_university" TargetMode="External"/><Relationship Id="rId352" Type="http://schemas.openxmlformats.org/officeDocument/2006/relationships/hyperlink" Target="http://en.wikipedia.org/wiki/Carnegie_Classification_of_Institutions_of_Higher_Education" TargetMode="External"/><Relationship Id="rId394" Type="http://schemas.openxmlformats.org/officeDocument/2006/relationships/hyperlink" Target="http://en.wikipedia.org/wiki/Carnegie_Classification_of_Institutions_of_Higher_Education" TargetMode="External"/><Relationship Id="rId408" Type="http://schemas.openxmlformats.org/officeDocument/2006/relationships/hyperlink" Target="http://en.wikipedia.org/wiki/Carnegie_Classification_of_Institutions_of_Higher_Education" TargetMode="External"/><Relationship Id="rId615" Type="http://schemas.openxmlformats.org/officeDocument/2006/relationships/hyperlink" Target="https://en.wikipedia.org/wiki/Roman_Catholic_Church" TargetMode="External"/><Relationship Id="rId822" Type="http://schemas.openxmlformats.org/officeDocument/2006/relationships/hyperlink" Target="https://en.wikipedia.org/wiki/Loyola_University_Maryland" TargetMode="External"/><Relationship Id="rId212" Type="http://schemas.openxmlformats.org/officeDocument/2006/relationships/hyperlink" Target="http://en.wikipedia.org/wiki/Carnegie_Classification_of_Institutions_of_Higher_Education" TargetMode="External"/><Relationship Id="rId254" Type="http://schemas.openxmlformats.org/officeDocument/2006/relationships/hyperlink" Target="http://en.wikipedia.org/wiki/Roger_Williams_University" TargetMode="External"/><Relationship Id="rId657" Type="http://schemas.openxmlformats.org/officeDocument/2006/relationships/hyperlink" Target="https://en.wikipedia.org/wiki/Keystone_College" TargetMode="External"/><Relationship Id="rId699" Type="http://schemas.openxmlformats.org/officeDocument/2006/relationships/hyperlink" Target="https://en.wikipedia.org/wiki/Washington,_Pennsylvania" TargetMode="External"/><Relationship Id="rId864" Type="http://schemas.openxmlformats.org/officeDocument/2006/relationships/hyperlink" Target="http://www.newhaven.edu/774072.pdf" TargetMode="External"/><Relationship Id="rId49" Type="http://schemas.openxmlformats.org/officeDocument/2006/relationships/hyperlink" Target="http://en.wikipedia.org/wiki/Cambridge_College" TargetMode="External"/><Relationship Id="rId114" Type="http://schemas.openxmlformats.org/officeDocument/2006/relationships/hyperlink" Target="http://en.wikipedia.org/wiki/North_Adams,_Massachusetts" TargetMode="External"/><Relationship Id="rId296" Type="http://schemas.openxmlformats.org/officeDocument/2006/relationships/hyperlink" Target="http://en.wikipedia.org/wiki/Presque_Isle,_Maine" TargetMode="External"/><Relationship Id="rId461" Type="http://schemas.openxmlformats.org/officeDocument/2006/relationships/hyperlink" Target="http://en.wikipedia.org/wiki/Hartwick_College" TargetMode="External"/><Relationship Id="rId517" Type="http://schemas.openxmlformats.org/officeDocument/2006/relationships/hyperlink" Target="http://en.wikipedia.org/wiki/University_at_Buffalo,_The_State_University_of_New_York" TargetMode="External"/><Relationship Id="rId559" Type="http://schemas.openxmlformats.org/officeDocument/2006/relationships/hyperlink" Target="https://en.wikipedia.org/wiki/Public_university" TargetMode="External"/><Relationship Id="rId724" Type="http://schemas.openxmlformats.org/officeDocument/2006/relationships/hyperlink" Target="https://en.wikipedia.org/wiki/Bethlehem,_Pennsylvania" TargetMode="External"/><Relationship Id="rId766" Type="http://schemas.openxmlformats.org/officeDocument/2006/relationships/hyperlink" Target="https://en.wikipedia.org/wiki/Pennsylvania_State_University" TargetMode="External"/><Relationship Id="rId60" Type="http://schemas.openxmlformats.org/officeDocument/2006/relationships/hyperlink" Target="http://en.wikipedia.org/wiki/Carnegie_Classification_of_Institutions_of_Higher_Education" TargetMode="External"/><Relationship Id="rId156" Type="http://schemas.openxmlformats.org/officeDocument/2006/relationships/hyperlink" Target="http://en.wikipedia.org/wiki/Carnegie_Classification_of_Institutions_of_Higher_Education" TargetMode="External"/><Relationship Id="rId198" Type="http://schemas.openxmlformats.org/officeDocument/2006/relationships/hyperlink" Target="http://en.wikipedia.org/wiki/Lowell,_Massachusetts" TargetMode="External"/><Relationship Id="rId321" Type="http://schemas.openxmlformats.org/officeDocument/2006/relationships/hyperlink" Target="http://en.wikipedia.org/wiki/Rindge,_New_Hampshire" TargetMode="External"/><Relationship Id="rId363" Type="http://schemas.openxmlformats.org/officeDocument/2006/relationships/hyperlink" Target="http://www.nec.edu/life/facts-figures/" TargetMode="External"/><Relationship Id="rId419" Type="http://schemas.openxmlformats.org/officeDocument/2006/relationships/hyperlink" Target="https://webservices.vsc.edu/WebServices/WebServices?TOKENIDX=1729101346&amp;SS=2&amp;APP=ST&amp;CONSTITUENCY=WBAP" TargetMode="External"/><Relationship Id="rId570" Type="http://schemas.openxmlformats.org/officeDocument/2006/relationships/hyperlink" Target="https://en.wikipedia.org/wiki/Caldwell,_New_Jersey" TargetMode="External"/><Relationship Id="rId626" Type="http://schemas.openxmlformats.org/officeDocument/2006/relationships/hyperlink" Target="https://en.wikipedia.org/wiki/Secular" TargetMode="External"/><Relationship Id="rId223" Type="http://schemas.openxmlformats.org/officeDocument/2006/relationships/hyperlink" Target="http://en.wikipedia.org/wiki/Non-profit" TargetMode="External"/><Relationship Id="rId430" Type="http://schemas.openxmlformats.org/officeDocument/2006/relationships/hyperlink" Target="http://en.wikipedia.org/wiki/Queens_College,_New_York" TargetMode="External"/><Relationship Id="rId668" Type="http://schemas.openxmlformats.org/officeDocument/2006/relationships/hyperlink" Target="https://en.wikipedia.org/wiki/Williamsport,_Pennsylvania" TargetMode="External"/><Relationship Id="rId833" Type="http://schemas.openxmlformats.org/officeDocument/2006/relationships/hyperlink" Target="https://en.wikipedia.org/wiki/Baltimore,_Maryland" TargetMode="External"/><Relationship Id="rId875" Type="http://schemas.openxmlformats.org/officeDocument/2006/relationships/hyperlink" Target="http://nces.ed.gov/collegenavigator/?q=yeshiva+univ&amp;s=all&amp;id=197708" TargetMode="External"/><Relationship Id="rId18" Type="http://schemas.openxmlformats.org/officeDocument/2006/relationships/hyperlink" Target="http://en.wikipedia.org/wiki/Great_Barrington,_Massachusetts" TargetMode="External"/><Relationship Id="rId265" Type="http://schemas.openxmlformats.org/officeDocument/2006/relationships/hyperlink" Target="http://en.wikipedia.org/wiki/Waterville,_Maine" TargetMode="External"/><Relationship Id="rId472" Type="http://schemas.openxmlformats.org/officeDocument/2006/relationships/hyperlink" Target="http://en.wikipedia.org/wiki/Laboratory_Institute_of_Merchandising" TargetMode="External"/><Relationship Id="rId528" Type="http://schemas.openxmlformats.org/officeDocument/2006/relationships/hyperlink" Target="http://en.wikipedia.org/wiki/State_University_of_New_York_at_Cobleskill" TargetMode="External"/><Relationship Id="rId735" Type="http://schemas.openxmlformats.org/officeDocument/2006/relationships/hyperlink" Target="https://en.wikipedia.org/wiki/Robert_Morris_University" TargetMode="External"/><Relationship Id="rId125" Type="http://schemas.openxmlformats.org/officeDocument/2006/relationships/hyperlink" Target="http://en.wikipedia.org/wiki/Merrimack_College" TargetMode="External"/><Relationship Id="rId167" Type="http://schemas.openxmlformats.org/officeDocument/2006/relationships/hyperlink" Target="http://en.wikipedia.org/wiki/Non-profit" TargetMode="External"/><Relationship Id="rId332" Type="http://schemas.openxmlformats.org/officeDocument/2006/relationships/hyperlink" Target="http://en.wikipedia.org/wiki/Carnegie_Classification_of_Institutions_of_Higher_Education" TargetMode="External"/><Relationship Id="rId374" Type="http://schemas.openxmlformats.org/officeDocument/2006/relationships/hyperlink" Target="http://en.wikipedia.org/wiki/Carnegie_Classification_of_Institutions_of_Higher_Education" TargetMode="External"/><Relationship Id="rId581" Type="http://schemas.openxmlformats.org/officeDocument/2006/relationships/hyperlink" Target="https://en.wikipedia.org/wiki/Lakewood_Township,_New_Jersey" TargetMode="External"/><Relationship Id="rId777" Type="http://schemas.openxmlformats.org/officeDocument/2006/relationships/hyperlink" Target="https://en.wikipedia.org/wiki/Bryn_Mawr_College" TargetMode="External"/><Relationship Id="rId71" Type="http://schemas.openxmlformats.org/officeDocument/2006/relationships/hyperlink" Target="http://en.wikipedia.org/wiki/Non-profit" TargetMode="External"/><Relationship Id="rId234" Type="http://schemas.openxmlformats.org/officeDocument/2006/relationships/hyperlink" Target="http://en.wikipedia.org/wiki/Brown_University" TargetMode="External"/><Relationship Id="rId637" Type="http://schemas.openxmlformats.org/officeDocument/2006/relationships/hyperlink" Target="https://en.wikipedia.org/wiki/Church_of_the_Brethren" TargetMode="External"/><Relationship Id="rId679" Type="http://schemas.openxmlformats.org/officeDocument/2006/relationships/hyperlink" Target="https://en.wikipedia.org/wiki/Allentown,_Pennsylvania" TargetMode="External"/><Relationship Id="rId802" Type="http://schemas.openxmlformats.org/officeDocument/2006/relationships/hyperlink" Target="https://en.wikipedia.org/wiki/Annapolis,_Maryland" TargetMode="External"/><Relationship Id="rId844" Type="http://schemas.openxmlformats.org/officeDocument/2006/relationships/hyperlink" Target="https://en.wikipedia.org/wiki/Catholic_University_of_America" TargetMode="External"/><Relationship Id="rId886" Type="http://schemas.openxmlformats.org/officeDocument/2006/relationships/hyperlink" Target="http://www2.mcdaniel.edu/Bus_Econ/clayco/4daymcd/ivy/FourDayWeeksintheIvyLeague.pdf" TargetMode="External"/><Relationship Id="rId2" Type="http://schemas.openxmlformats.org/officeDocument/2006/relationships/hyperlink" Target="http://en.wikipedia.org/wiki/Springfield,_Massachusetts" TargetMode="External"/><Relationship Id="rId29" Type="http://schemas.openxmlformats.org/officeDocument/2006/relationships/hyperlink" Target="http://en.wikipedia.org/wiki/Bentley_University" TargetMode="External"/><Relationship Id="rId276" Type="http://schemas.openxmlformats.org/officeDocument/2006/relationships/hyperlink" Target="http://en.wikipedia.org/wiki/Carnegie_Classification_of_Institutions_of_Higher_Education" TargetMode="External"/><Relationship Id="rId441" Type="http://schemas.openxmlformats.org/officeDocument/2006/relationships/hyperlink" Target="http://en.wikipedia.org/wiki/Canisius_College" TargetMode="External"/><Relationship Id="rId483" Type="http://schemas.openxmlformats.org/officeDocument/2006/relationships/hyperlink" Target="http://en.wikipedia.org/wiki/Mount_Saint_Mary_College" TargetMode="External"/><Relationship Id="rId539" Type="http://schemas.openxmlformats.org/officeDocument/2006/relationships/hyperlink" Target="http://en.wikipedia.org/wiki/State_University_of_New_York_at_Geneseo" TargetMode="External"/><Relationship Id="rId690" Type="http://schemas.openxmlformats.org/officeDocument/2006/relationships/hyperlink" Target="https://en.wikipedia.org/wiki/Susquehanna_University" TargetMode="External"/><Relationship Id="rId704" Type="http://schemas.openxmlformats.org/officeDocument/2006/relationships/hyperlink" Target="https://en.wikipedia.org/wiki/Wilkes_University" TargetMode="External"/><Relationship Id="rId746" Type="http://schemas.openxmlformats.org/officeDocument/2006/relationships/hyperlink" Target="https://en.wikipedia.org/wiki/Villanova_University" TargetMode="External"/><Relationship Id="rId40" Type="http://schemas.openxmlformats.org/officeDocument/2006/relationships/hyperlink" Target="http://en.wikipedia.org/wiki/Carnegie_Classification_of_Institutions_of_Higher_Education" TargetMode="External"/><Relationship Id="rId136" Type="http://schemas.openxmlformats.org/officeDocument/2006/relationships/hyperlink" Target="http://en.wikipedia.org/wiki/Carnegie_Classification_of_Institutions_of_Higher_Education" TargetMode="External"/><Relationship Id="rId178" Type="http://schemas.openxmlformats.org/officeDocument/2006/relationships/hyperlink" Target="http://en.wikipedia.org/wiki/Boston" TargetMode="External"/><Relationship Id="rId301" Type="http://schemas.openxmlformats.org/officeDocument/2006/relationships/hyperlink" Target="http://en.wikipedia.org/wiki/Carnegie_Classification_of_Institutions_of_Higher_Education" TargetMode="External"/><Relationship Id="rId343" Type="http://schemas.openxmlformats.org/officeDocument/2006/relationships/hyperlink" Target="http://en.wikipedia.org/wiki/Goffstown,_New_Hampshire" TargetMode="External"/><Relationship Id="rId550" Type="http://schemas.openxmlformats.org/officeDocument/2006/relationships/hyperlink" Target="https://en.wikipedia.org/wiki/New_Jersey_City_University" TargetMode="External"/><Relationship Id="rId788" Type="http://schemas.openxmlformats.org/officeDocument/2006/relationships/hyperlink" Target="https://en.wikipedia.org/wiki/Bowie,_Maryland" TargetMode="External"/><Relationship Id="rId82" Type="http://schemas.openxmlformats.org/officeDocument/2006/relationships/hyperlink" Target="http://en.wikipedia.org/wiki/Boston" TargetMode="External"/><Relationship Id="rId203" Type="http://schemas.openxmlformats.org/officeDocument/2006/relationships/hyperlink" Target="http://en.wikipedia.org/wiki/Non-profit" TargetMode="External"/><Relationship Id="rId385" Type="http://schemas.openxmlformats.org/officeDocument/2006/relationships/hyperlink" Target="http://en.wikipedia.org/wiki/Green_Mountain_College" TargetMode="External"/><Relationship Id="rId592" Type="http://schemas.openxmlformats.org/officeDocument/2006/relationships/hyperlink" Target="https://en.wikipedia.org/wiki/Hoboken,_New_Jersey" TargetMode="External"/><Relationship Id="rId606" Type="http://schemas.openxmlformats.org/officeDocument/2006/relationships/hyperlink" Target="https://en.wikipedia.org/wiki/The_American_College_%28Pennsylvania%29" TargetMode="External"/><Relationship Id="rId648" Type="http://schemas.openxmlformats.org/officeDocument/2006/relationships/hyperlink" Target="https://en.wikipedia.org/wiki/Presbyterian_Church_of_the_USA" TargetMode="External"/><Relationship Id="rId813" Type="http://schemas.openxmlformats.org/officeDocument/2006/relationships/hyperlink" Target="https://en.wikipedia.org/wiki/Adelphi,_Maryland" TargetMode="External"/><Relationship Id="rId855" Type="http://schemas.openxmlformats.org/officeDocument/2006/relationships/hyperlink" Target="https://en.wikipedia.org/wiki/Masters_university" TargetMode="External"/><Relationship Id="rId245" Type="http://schemas.openxmlformats.org/officeDocument/2006/relationships/hyperlink" Target="http://en.wikipedia.org/wiki/Staff_college" TargetMode="External"/><Relationship Id="rId287" Type="http://schemas.openxmlformats.org/officeDocument/2006/relationships/hyperlink" Target="http://en.wikipedia.org/wiki/Farmington,_Maine" TargetMode="External"/><Relationship Id="rId410" Type="http://schemas.openxmlformats.org/officeDocument/2006/relationships/hyperlink" Target="http://en.wikipedia.org/wiki/Bennington,_Vermont" TargetMode="External"/><Relationship Id="rId452" Type="http://schemas.openxmlformats.org/officeDocument/2006/relationships/hyperlink" Target="http://en.wikipedia.org/wiki/D%27Youville_College" TargetMode="External"/><Relationship Id="rId494" Type="http://schemas.openxmlformats.org/officeDocument/2006/relationships/hyperlink" Target="http://en.wikipedia.org/wiki/Siena_College" TargetMode="External"/><Relationship Id="rId508" Type="http://schemas.openxmlformats.org/officeDocument/2006/relationships/hyperlink" Target="http://en.wikipedia.org/wiki/Vassar_College" TargetMode="External"/><Relationship Id="rId715" Type="http://schemas.openxmlformats.org/officeDocument/2006/relationships/hyperlink" Target="https://en.wikipedia.org/wiki/Gannon_University" TargetMode="External"/><Relationship Id="rId105" Type="http://schemas.openxmlformats.org/officeDocument/2006/relationships/hyperlink" Target="http://en.wikipedia.org/wiki/Lasell_College" TargetMode="External"/><Relationship Id="rId147" Type="http://schemas.openxmlformats.org/officeDocument/2006/relationships/hyperlink" Target="http://en.wikipedia.org/wiki/Non-profit" TargetMode="External"/><Relationship Id="rId312" Type="http://schemas.openxmlformats.org/officeDocument/2006/relationships/hyperlink" Target="http://en.wikipedia.org/wiki/Carnegie_Classification_of_Institutions_of_Higher_Education" TargetMode="External"/><Relationship Id="rId354" Type="http://schemas.openxmlformats.org/officeDocument/2006/relationships/hyperlink" Target="http://en.wikipedia.org/wiki/Merrimack,_New_Hampshire" TargetMode="External"/><Relationship Id="rId757" Type="http://schemas.openxmlformats.org/officeDocument/2006/relationships/hyperlink" Target="https://en.wikipedia.org/wiki/Edinboro_University_of_Pennsylvania" TargetMode="External"/><Relationship Id="rId799" Type="http://schemas.openxmlformats.org/officeDocument/2006/relationships/hyperlink" Target="https://en.wikipedia.org/wiki/Towson_University" TargetMode="External"/><Relationship Id="rId51" Type="http://schemas.openxmlformats.org/officeDocument/2006/relationships/hyperlink" Target="http://en.wikipedia.org/wiki/Non-profit" TargetMode="External"/><Relationship Id="rId93" Type="http://schemas.openxmlformats.org/officeDocument/2006/relationships/hyperlink" Target="http://en.wikipedia.org/wiki/Gordon_College_%28Massachusetts%29" TargetMode="External"/><Relationship Id="rId189" Type="http://schemas.openxmlformats.org/officeDocument/2006/relationships/hyperlink" Target="http://en.wikipedia.org/wiki/University_of_Massachusetts_Boston" TargetMode="External"/><Relationship Id="rId396" Type="http://schemas.openxmlformats.org/officeDocument/2006/relationships/hyperlink" Target="http://en.wikipedia.org/wiki/Marlboro,_Vermont" TargetMode="External"/><Relationship Id="rId561" Type="http://schemas.openxmlformats.org/officeDocument/2006/relationships/hyperlink" Target="https://en.wikipedia.org/wiki/Ewing_Township,_New_Jersey" TargetMode="External"/><Relationship Id="rId617" Type="http://schemas.openxmlformats.org/officeDocument/2006/relationships/hyperlink" Target="https://en.wikipedia.org/wiki/Langhorne_Manor,_Pennsylvania" TargetMode="External"/><Relationship Id="rId659" Type="http://schemas.openxmlformats.org/officeDocument/2006/relationships/hyperlink" Target="https://en.wikipedia.org/wiki/King%27s_College_%28Pennsylvania%29" TargetMode="External"/><Relationship Id="rId824" Type="http://schemas.openxmlformats.org/officeDocument/2006/relationships/hyperlink" Target="https://en.wikipedia.org/wiki/Maryland_Institute_College_of_Art" TargetMode="External"/><Relationship Id="rId866" Type="http://schemas.openxmlformats.org/officeDocument/2006/relationships/hyperlink" Target="http://www.usj.edu/about-us/student-consumer-information/" TargetMode="External"/><Relationship Id="rId214" Type="http://schemas.openxmlformats.org/officeDocument/2006/relationships/hyperlink" Target="http://en.wikipedia.org/wiki/Norton,_Massachusetts" TargetMode="External"/><Relationship Id="rId256" Type="http://schemas.openxmlformats.org/officeDocument/2006/relationships/hyperlink" Target="http://en.wikipedia.org/wiki/Carnegie_Classification_of_Institutions_of_Higher_Education" TargetMode="External"/><Relationship Id="rId298" Type="http://schemas.openxmlformats.org/officeDocument/2006/relationships/hyperlink" Target="http://en.wikipedia.org/wiki/University_of_New_England_%28United_States%29" TargetMode="External"/><Relationship Id="rId421" Type="http://schemas.openxmlformats.org/officeDocument/2006/relationships/hyperlink" Target="http://en.wikipedia.org/wiki/Brooklyn_College" TargetMode="External"/><Relationship Id="rId463" Type="http://schemas.openxmlformats.org/officeDocument/2006/relationships/hyperlink" Target="http://en.wikipedia.org/wiki/Hobart_and_William_Smith_Colleges" TargetMode="External"/><Relationship Id="rId519" Type="http://schemas.openxmlformats.org/officeDocument/2006/relationships/hyperlink" Target="http://en.wikipedia.org/wiki/Alfred_University" TargetMode="External"/><Relationship Id="rId670" Type="http://schemas.openxmlformats.org/officeDocument/2006/relationships/hyperlink" Target="https://en.wikipedia.org/wiki/Erie_Pennsylvania" TargetMode="External"/><Relationship Id="rId116" Type="http://schemas.openxmlformats.org/officeDocument/2006/relationships/hyperlink" Target="http://en.wikipedia.org/wiki/Carnegie_Classification_of_Institutions_of_Higher_Education" TargetMode="External"/><Relationship Id="rId158" Type="http://schemas.openxmlformats.org/officeDocument/2006/relationships/hyperlink" Target="http://en.wikipedia.org/wiki/Salem,_Massachusetts" TargetMode="External"/><Relationship Id="rId323" Type="http://schemas.openxmlformats.org/officeDocument/2006/relationships/hyperlink" Target="http://en.wikipedia.org/wiki/Granite_State_College" TargetMode="External"/><Relationship Id="rId530" Type="http://schemas.openxmlformats.org/officeDocument/2006/relationships/hyperlink" Target="http://en.wikipedia.org/wiki/State_University_of_New_York_at_Farmingdale" TargetMode="External"/><Relationship Id="rId726" Type="http://schemas.openxmlformats.org/officeDocument/2006/relationships/hyperlink" Target="https://en.wikipedia.org/wiki/Dunmore,_Pennsylvania" TargetMode="External"/><Relationship Id="rId768" Type="http://schemas.openxmlformats.org/officeDocument/2006/relationships/hyperlink" Target="https://en.wikipedia.org/wiki/University_of_Pittsburgh" TargetMode="External"/><Relationship Id="rId20" Type="http://schemas.openxmlformats.org/officeDocument/2006/relationships/hyperlink" Target="http://en.wikipedia.org/wiki/Carnegie_Classification_of_Institutions_of_Higher_Education" TargetMode="External"/><Relationship Id="rId62" Type="http://schemas.openxmlformats.org/officeDocument/2006/relationships/hyperlink" Target="http://en.wikipedia.org/wiki/Quincy,_Massachusetts" TargetMode="External"/><Relationship Id="rId365" Type="http://schemas.openxmlformats.org/officeDocument/2006/relationships/hyperlink" Target="http://www.bowdoin.edu/ir/data/retention.shtml" TargetMode="External"/><Relationship Id="rId572" Type="http://schemas.openxmlformats.org/officeDocument/2006/relationships/hyperlink" Target="https://en.wikipedia.org/wiki/Centenary_College_of_New_Jersey" TargetMode="External"/><Relationship Id="rId628" Type="http://schemas.openxmlformats.org/officeDocument/2006/relationships/hyperlink" Target="https://en.wikipedia.org/wiki/Pittsburgh" TargetMode="External"/><Relationship Id="rId835" Type="http://schemas.openxmlformats.org/officeDocument/2006/relationships/hyperlink" Target="https://en.wikipedia.org/wiki/Annapolis,_Maryland" TargetMode="External"/><Relationship Id="rId225" Type="http://schemas.openxmlformats.org/officeDocument/2006/relationships/hyperlink" Target="http://en.wikipedia.org/wiki/Worcester_Polytechnic_Institute" TargetMode="External"/><Relationship Id="rId267" Type="http://schemas.openxmlformats.org/officeDocument/2006/relationships/hyperlink" Target="http://en.wikipedia.org/wiki/Maine_Maritime_Academy" TargetMode="External"/><Relationship Id="rId432" Type="http://schemas.openxmlformats.org/officeDocument/2006/relationships/hyperlink" Target="http://en.wikipedia.org/wiki/State_University_of_New_York_at_Stony_Brook" TargetMode="External"/><Relationship Id="rId474" Type="http://schemas.openxmlformats.org/officeDocument/2006/relationships/hyperlink" Target="http://en.wikipedia.org/wiki/Manhattan_College" TargetMode="External"/><Relationship Id="rId877" Type="http://schemas.openxmlformats.org/officeDocument/2006/relationships/hyperlink" Target="http://nces.ed.gov/collegenavigator/?q=SUNY+at+Purchase&amp;s=all&amp;id=196219" TargetMode="External"/><Relationship Id="rId127" Type="http://schemas.openxmlformats.org/officeDocument/2006/relationships/hyperlink" Target="http://en.wikipedia.org/wiki/Non-profit" TargetMode="External"/><Relationship Id="rId681" Type="http://schemas.openxmlformats.org/officeDocument/2006/relationships/hyperlink" Target="https://en.wikipedia.org/wiki/Philadelphia" TargetMode="External"/><Relationship Id="rId737" Type="http://schemas.openxmlformats.org/officeDocument/2006/relationships/hyperlink" Target="https://en.wikipedia.org/wiki/Saint_Francis_University" TargetMode="External"/><Relationship Id="rId779" Type="http://schemas.openxmlformats.org/officeDocument/2006/relationships/hyperlink" Target="https://en.wikipedia.org/wiki/Carnegie_Mellon_University" TargetMode="External"/><Relationship Id="rId31" Type="http://schemas.openxmlformats.org/officeDocument/2006/relationships/hyperlink" Target="http://en.wikipedia.org/wiki/Non-profit" TargetMode="External"/><Relationship Id="rId73" Type="http://schemas.openxmlformats.org/officeDocument/2006/relationships/hyperlink" Target="http://en.wikipedia.org/wiki/Emmanuel_College_%28Massachusetts%29" TargetMode="External"/><Relationship Id="rId169" Type="http://schemas.openxmlformats.org/officeDocument/2006/relationships/hyperlink" Target="http://en.wikipedia.org/wiki/Springfield_College" TargetMode="External"/><Relationship Id="rId334" Type="http://schemas.openxmlformats.org/officeDocument/2006/relationships/hyperlink" Target="http://en.wikipedia.org/wiki/Carnegie_Classification_of_Institutions_of_Higher_Education" TargetMode="External"/><Relationship Id="rId376" Type="http://schemas.openxmlformats.org/officeDocument/2006/relationships/hyperlink" Target="http://en.wikipedia.org/wiki/Burlington,_Vermont" TargetMode="External"/><Relationship Id="rId541" Type="http://schemas.openxmlformats.org/officeDocument/2006/relationships/hyperlink" Target="http://en.wikipedia.org/wiki/State_University_of_New_York_at_Old_Westbury" TargetMode="External"/><Relationship Id="rId583" Type="http://schemas.openxmlformats.org/officeDocument/2006/relationships/hyperlink" Target="https://en.wikipedia.org/wiki/West_Long_Branch,_New_Jersey" TargetMode="External"/><Relationship Id="rId639" Type="http://schemas.openxmlformats.org/officeDocument/2006/relationships/hyperlink" Target="https://en.wikipedia.org/wiki/Lancaster,_Pennsylvania" TargetMode="External"/><Relationship Id="rId790" Type="http://schemas.openxmlformats.org/officeDocument/2006/relationships/hyperlink" Target="https://en.wikipedia.org/wiki/Baltimore,_Maryland" TargetMode="External"/><Relationship Id="rId804" Type="http://schemas.openxmlformats.org/officeDocument/2006/relationships/hyperlink" Target="https://en.wikipedia.org/wiki/Baltimore,_Maryland" TargetMode="External"/><Relationship Id="rId4" Type="http://schemas.openxmlformats.org/officeDocument/2006/relationships/hyperlink" Target="http://en.wikipedia.org/wiki/Carnegie_Classification_of_Institutions_of_Higher_Education" TargetMode="External"/><Relationship Id="rId180" Type="http://schemas.openxmlformats.org/officeDocument/2006/relationships/hyperlink" Target="http://en.wikipedia.org/wiki/Research_university" TargetMode="External"/><Relationship Id="rId236" Type="http://schemas.openxmlformats.org/officeDocument/2006/relationships/hyperlink" Target="http://en.wikipedia.org/wiki/Carnegie_Classification_of_Institutions_of_Higher_Education" TargetMode="External"/><Relationship Id="rId278" Type="http://schemas.openxmlformats.org/officeDocument/2006/relationships/hyperlink" Target="http://en.wikipedia.org/wiki/Unity,_Maine" TargetMode="External"/><Relationship Id="rId401" Type="http://schemas.openxmlformats.org/officeDocument/2006/relationships/hyperlink" Target="http://en.wikipedia.org/wiki/Carnegie_Classification_of_Institutions_of_Higher_Education" TargetMode="External"/><Relationship Id="rId443" Type="http://schemas.openxmlformats.org/officeDocument/2006/relationships/hyperlink" Target="http://en.wikipedia.org/wiki/Clarkson_University" TargetMode="External"/><Relationship Id="rId650" Type="http://schemas.openxmlformats.org/officeDocument/2006/relationships/hyperlink" Target="https://en.wikipedia.org/wiki/Lower_Gwynedd_Township,_Montgomery_County,_Pennsylvania" TargetMode="External"/><Relationship Id="rId846" Type="http://schemas.openxmlformats.org/officeDocument/2006/relationships/hyperlink" Target="https://en.wikipedia.org/wiki/George_Washington_University" TargetMode="External"/><Relationship Id="rId888" Type="http://schemas.openxmlformats.org/officeDocument/2006/relationships/hyperlink" Target="http://www2.mcdaniel.edu/Bus_Econ/clayco/4daymcd/ivy/FourDayWeeksintheIvyLeague.pdf" TargetMode="External"/><Relationship Id="rId303" Type="http://schemas.openxmlformats.org/officeDocument/2006/relationships/hyperlink" Target="http://www.bates.edu/research/files/2010/04/bates.facts_.12.13.pdf" TargetMode="External"/><Relationship Id="rId485" Type="http://schemas.openxmlformats.org/officeDocument/2006/relationships/hyperlink" Target="http://en.wikipedia.org/wiki/New_School" TargetMode="External"/><Relationship Id="rId692" Type="http://schemas.openxmlformats.org/officeDocument/2006/relationships/hyperlink" Target="https://en.wikipedia.org/wiki/Swarthmore_College" TargetMode="External"/><Relationship Id="rId706" Type="http://schemas.openxmlformats.org/officeDocument/2006/relationships/hyperlink" Target="https://en.wikipedia.org/wiki/Spring_Garden_Township,_York_County,_Pennsylvania" TargetMode="External"/><Relationship Id="rId748" Type="http://schemas.openxmlformats.org/officeDocument/2006/relationships/hyperlink" Target="https://en.wikipedia.org/wiki/Waynesburg_University" TargetMode="External"/><Relationship Id="rId42" Type="http://schemas.openxmlformats.org/officeDocument/2006/relationships/hyperlink" Target="http://en.wikipedia.org/wiki/Waltham,_Massachusetts" TargetMode="External"/><Relationship Id="rId84" Type="http://schemas.openxmlformats.org/officeDocument/2006/relationships/hyperlink" Target="http://en.wikipedia.org/wiki/Carnegie_Classification_of_Institutions_of_Higher_Education" TargetMode="External"/><Relationship Id="rId138" Type="http://schemas.openxmlformats.org/officeDocument/2006/relationships/hyperlink" Target="http://en.wikipedia.org/wiki/Newton,_Massachusetts" TargetMode="External"/><Relationship Id="rId345" Type="http://schemas.openxmlformats.org/officeDocument/2006/relationships/hyperlink" Target="http://en.wikipedia.org/wiki/Carnegie_Classification_of_Institutions_of_Higher_Education" TargetMode="External"/><Relationship Id="rId387" Type="http://schemas.openxmlformats.org/officeDocument/2006/relationships/hyperlink" Target="http://en.wikipedia.org/wiki/United_Methodist_Church" TargetMode="External"/><Relationship Id="rId510" Type="http://schemas.openxmlformats.org/officeDocument/2006/relationships/hyperlink" Target="http://en.wikipedia.org/wiki/Villa_Maria_College" TargetMode="External"/><Relationship Id="rId552" Type="http://schemas.openxmlformats.org/officeDocument/2006/relationships/hyperlink" Target="https://en.wikipedia.org/wiki/New_Jersey_Institute_of_Technology" TargetMode="External"/><Relationship Id="rId594" Type="http://schemas.openxmlformats.org/officeDocument/2006/relationships/hyperlink" Target="https://en.wikipedia.org/wiki/List_of_colleges_and_universities_in_New_Jersey" TargetMode="External"/><Relationship Id="rId608" Type="http://schemas.openxmlformats.org/officeDocument/2006/relationships/hyperlink" Target="https://en.wikipedia.org/wiki/Bryn_Athyn_College" TargetMode="External"/><Relationship Id="rId815" Type="http://schemas.openxmlformats.org/officeDocument/2006/relationships/hyperlink" Target="https://en.wikipedia.org/wiki/Laurel,_Maryland" TargetMode="External"/><Relationship Id="rId191" Type="http://schemas.openxmlformats.org/officeDocument/2006/relationships/hyperlink" Target="http://en.wikipedia.org/wiki/Public_university" TargetMode="External"/><Relationship Id="rId205" Type="http://schemas.openxmlformats.org/officeDocument/2006/relationships/hyperlink" Target="http://en.wikipedia.org/wiki/Western_New_England_University" TargetMode="External"/><Relationship Id="rId247" Type="http://schemas.openxmlformats.org/officeDocument/2006/relationships/hyperlink" Target="http://en.wikipedia.org/wiki/Providence_College" TargetMode="External"/><Relationship Id="rId412" Type="http://schemas.openxmlformats.org/officeDocument/2006/relationships/hyperlink" Target="http://en.wikipedia.org/wiki/Sterling_College_%28Vermont%29" TargetMode="External"/><Relationship Id="rId857" Type="http://schemas.openxmlformats.org/officeDocument/2006/relationships/hyperlink" Target="http://web.uri.edu/ir/files/2003-2013-retention-and-graduation-rates.pdf" TargetMode="External"/><Relationship Id="rId107" Type="http://schemas.openxmlformats.org/officeDocument/2006/relationships/hyperlink" Target="http://en.wikipedia.org/wiki/Non-profit" TargetMode="External"/><Relationship Id="rId289" Type="http://schemas.openxmlformats.org/officeDocument/2006/relationships/hyperlink" Target="http://en.wikipedia.org/wiki/University_of_Maine_at_Fort_Kent" TargetMode="External"/><Relationship Id="rId454" Type="http://schemas.openxmlformats.org/officeDocument/2006/relationships/hyperlink" Target="http://en.wikipedia.org/wiki/Davis_College_%28Binghamton,_New_York%29" TargetMode="External"/><Relationship Id="rId496" Type="http://schemas.openxmlformats.org/officeDocument/2006/relationships/hyperlink" Target="http://en.wikipedia.org/wiki/St._Bonaventure_University" TargetMode="External"/><Relationship Id="rId661" Type="http://schemas.openxmlformats.org/officeDocument/2006/relationships/hyperlink" Target="https://en.wikipedia.org/wiki/La_Roche_College" TargetMode="External"/><Relationship Id="rId717" Type="http://schemas.openxmlformats.org/officeDocument/2006/relationships/hyperlink" Target="https://en.wikipedia.org/wiki/Holy_Family_University" TargetMode="External"/><Relationship Id="rId759" Type="http://schemas.openxmlformats.org/officeDocument/2006/relationships/hyperlink" Target="https://en.wikipedia.org/wiki/Kutztown_University_of_Pennsylvania" TargetMode="External"/><Relationship Id="rId11" Type="http://schemas.openxmlformats.org/officeDocument/2006/relationships/hyperlink" Target="http://en.wikipedia.org/wiki/Non-profit" TargetMode="External"/><Relationship Id="rId53" Type="http://schemas.openxmlformats.org/officeDocument/2006/relationships/hyperlink" Target="http://en.wikipedia.org/wiki/Clark_University" TargetMode="External"/><Relationship Id="rId149" Type="http://schemas.openxmlformats.org/officeDocument/2006/relationships/hyperlink" Target="http://en.wikipedia.org/wiki/Pine_Manor_College" TargetMode="External"/><Relationship Id="rId314" Type="http://schemas.openxmlformats.org/officeDocument/2006/relationships/hyperlink" Target="http://en.wikipedia.org/wiki/Nashua,_New_Hampshire" TargetMode="External"/><Relationship Id="rId356" Type="http://schemas.openxmlformats.org/officeDocument/2006/relationships/hyperlink" Target="http://en.wikipedia.org/wiki/Carnegie_Classification_of_Institutions_of_Higher_Education" TargetMode="External"/><Relationship Id="rId398" Type="http://schemas.openxmlformats.org/officeDocument/2006/relationships/hyperlink" Target="http://en.wikipedia.org/wiki/List_of_colleges_and_universities_in_Vermont" TargetMode="External"/><Relationship Id="rId521" Type="http://schemas.openxmlformats.org/officeDocument/2006/relationships/hyperlink" Target="http://en.wikipedia.org/wiki/Cornell_University" TargetMode="External"/><Relationship Id="rId563" Type="http://schemas.openxmlformats.org/officeDocument/2006/relationships/hyperlink" Target="https://en.wikipedia.org/wiki/Trenton,_New_Jersey" TargetMode="External"/><Relationship Id="rId619" Type="http://schemas.openxmlformats.org/officeDocument/2006/relationships/hyperlink" Target="https://en.wikipedia.org/wiki/Carlow_University" TargetMode="External"/><Relationship Id="rId770" Type="http://schemas.openxmlformats.org/officeDocument/2006/relationships/hyperlink" Target="https://en.wikipedia.org/wiki/Temple_University" TargetMode="External"/><Relationship Id="rId95" Type="http://schemas.openxmlformats.org/officeDocument/2006/relationships/hyperlink" Target="http://en.wikipedia.org/wiki/Non-profit" TargetMode="External"/><Relationship Id="rId160" Type="http://schemas.openxmlformats.org/officeDocument/2006/relationships/hyperlink" Target="http://en.wikipedia.org/wiki/Carnegie_Classification_of_Institutions_of_Higher_Education" TargetMode="External"/><Relationship Id="rId216" Type="http://schemas.openxmlformats.org/officeDocument/2006/relationships/hyperlink" Target="http://en.wikipedia.org/wiki/Carnegie_Classification_of_Institutions_of_Higher_Education" TargetMode="External"/><Relationship Id="rId423" Type="http://schemas.openxmlformats.org/officeDocument/2006/relationships/hyperlink" Target="http://en.wikipedia.org/wiki/College_of_Staten_Island" TargetMode="External"/><Relationship Id="rId826" Type="http://schemas.openxmlformats.org/officeDocument/2006/relationships/hyperlink" Target="https://en.wikipedia.org/wiki/Maryland_University_of_Integrative_Health" TargetMode="External"/><Relationship Id="rId868" Type="http://schemas.openxmlformats.org/officeDocument/2006/relationships/hyperlink" Target="http://oir.yale.edu/sites/default/files/2013_Freshmen_Retention.pdf" TargetMode="External"/><Relationship Id="rId258" Type="http://schemas.openxmlformats.org/officeDocument/2006/relationships/hyperlink" Target="http://en.wikipedia.org/wiki/Newport,_Rhode_Island" TargetMode="External"/><Relationship Id="rId465" Type="http://schemas.openxmlformats.org/officeDocument/2006/relationships/hyperlink" Target="http://en.wikipedia.org/wiki/Houghton_College" TargetMode="External"/><Relationship Id="rId630" Type="http://schemas.openxmlformats.org/officeDocument/2006/relationships/hyperlink" Target="https://en.wikipedia.org/wiki/Doylestown_Township,_Bucks_County,_Pennsylvania" TargetMode="External"/><Relationship Id="rId672" Type="http://schemas.openxmlformats.org/officeDocument/2006/relationships/hyperlink" Target="https://en.wikipedia.org/wiki/Upper_Allen_Township,_Cumberland_County,_Pennsylvania" TargetMode="External"/><Relationship Id="rId728" Type="http://schemas.openxmlformats.org/officeDocument/2006/relationships/hyperlink" Target="https://en.wikipedia.org/wiki/Dallas_Township,_Luzerne_County,_Pennsylvania" TargetMode="External"/><Relationship Id="rId22" Type="http://schemas.openxmlformats.org/officeDocument/2006/relationships/hyperlink" Target="http://en.wikipedia.org/wiki/Longmeadow,_Massachusetts" TargetMode="External"/><Relationship Id="rId64" Type="http://schemas.openxmlformats.org/officeDocument/2006/relationships/hyperlink" Target="http://en.wikipedia.org/wiki/Carnegie_Classification_of_Institutions_of_Higher_Education" TargetMode="External"/><Relationship Id="rId118" Type="http://schemas.openxmlformats.org/officeDocument/2006/relationships/hyperlink" Target="http://en.wikipedia.org/wiki/Cambridge,_Massachusetts" TargetMode="External"/><Relationship Id="rId325" Type="http://schemas.openxmlformats.org/officeDocument/2006/relationships/hyperlink" Target="http://en.wikipedia.org/wiki/Carnegie_Classification_of_Institutions_of_Higher_Education" TargetMode="External"/><Relationship Id="rId367" Type="http://schemas.openxmlformats.org/officeDocument/2006/relationships/hyperlink" Target="http://en.wikipedia.org/wiki/Bennington,_Vermont" TargetMode="External"/><Relationship Id="rId532" Type="http://schemas.openxmlformats.org/officeDocument/2006/relationships/hyperlink" Target="http://en.wikipedia.org/wiki/State_University_of_New_York_Institute_of_Technology" TargetMode="External"/><Relationship Id="rId574" Type="http://schemas.openxmlformats.org/officeDocument/2006/relationships/hyperlink" Target="https://en.wikipedia.org/wiki/List_of_colleges_and_universities_in_New_Jersey" TargetMode="External"/><Relationship Id="rId171" Type="http://schemas.openxmlformats.org/officeDocument/2006/relationships/hyperlink" Target="http://en.wikipedia.org/wiki/Non-profit" TargetMode="External"/><Relationship Id="rId227" Type="http://schemas.openxmlformats.org/officeDocument/2006/relationships/hyperlink" Target="http://en.wikipedia.org/wiki/Non-profit" TargetMode="External"/><Relationship Id="rId781" Type="http://schemas.openxmlformats.org/officeDocument/2006/relationships/hyperlink" Target="https://en.wikipedia.org/wiki/Chestnut_Hill_College" TargetMode="External"/><Relationship Id="rId837" Type="http://schemas.openxmlformats.org/officeDocument/2006/relationships/hyperlink" Target="https://en.wikipedia.org/wiki/Stevenson,_Maryland" TargetMode="External"/><Relationship Id="rId879" Type="http://schemas.openxmlformats.org/officeDocument/2006/relationships/hyperlink" Target="http://nces.ed.gov/collegenavigator/?q=La+Roche+College&amp;s=all&amp;id=213358" TargetMode="External"/><Relationship Id="rId269" Type="http://schemas.openxmlformats.org/officeDocument/2006/relationships/hyperlink" Target="http://en.wikipedia.org/wiki/Carnegie_Classification_of_Institutions_of_Higher_Education" TargetMode="External"/><Relationship Id="rId434" Type="http://schemas.openxmlformats.org/officeDocument/2006/relationships/hyperlink" Target="http://en.wikipedia.org/wiki/United_States_Military_Academy" TargetMode="External"/><Relationship Id="rId476" Type="http://schemas.openxmlformats.org/officeDocument/2006/relationships/hyperlink" Target="http://en.wikipedia.org/wiki/Manhattanville_College" TargetMode="External"/><Relationship Id="rId641" Type="http://schemas.openxmlformats.org/officeDocument/2006/relationships/hyperlink" Target="https://en.wikipedia.org/wiki/Beaver_Falls,_Pennsylvania" TargetMode="External"/><Relationship Id="rId683" Type="http://schemas.openxmlformats.org/officeDocument/2006/relationships/hyperlink" Target="https://en.wikipedia.org/wiki/Pittsburgh" TargetMode="External"/><Relationship Id="rId739" Type="http://schemas.openxmlformats.org/officeDocument/2006/relationships/hyperlink" Target="https://en.wikipedia.org/wiki/Saint_Joseph%E2%80%99s_University" TargetMode="External"/><Relationship Id="rId33" Type="http://schemas.openxmlformats.org/officeDocument/2006/relationships/hyperlink" Target="http://en.wikipedia.org/wiki/Boston_College" TargetMode="External"/><Relationship Id="rId129" Type="http://schemas.openxmlformats.org/officeDocument/2006/relationships/hyperlink" Target="http://en.wikipedia.org/wiki/MGH_Institute_of_Health_Professions" TargetMode="External"/><Relationship Id="rId280" Type="http://schemas.openxmlformats.org/officeDocument/2006/relationships/hyperlink" Target="http://en.wikipedia.org/wiki/University_of_Maine" TargetMode="External"/><Relationship Id="rId336" Type="http://schemas.openxmlformats.org/officeDocument/2006/relationships/hyperlink" Target="http://en.wikipedia.org/wiki/Plymouth,_New_Hampshire" TargetMode="External"/><Relationship Id="rId501" Type="http://schemas.openxmlformats.org/officeDocument/2006/relationships/hyperlink" Target="http://en.wikipedia.org/wiki/St._Lawrence_University" TargetMode="External"/><Relationship Id="rId543" Type="http://schemas.openxmlformats.org/officeDocument/2006/relationships/hyperlink" Target="http://en.wikipedia.org/wiki/State_University_of_New_York_at_Oswego" TargetMode="External"/><Relationship Id="rId75" Type="http://schemas.openxmlformats.org/officeDocument/2006/relationships/hyperlink" Target="http://en.wikipedia.org/wiki/Non-profit" TargetMode="External"/><Relationship Id="rId140" Type="http://schemas.openxmlformats.org/officeDocument/2006/relationships/hyperlink" Target="http://en.wikipedia.org/wiki/Carnegie_Classification_of_Institutions_of_Higher_Education" TargetMode="External"/><Relationship Id="rId182" Type="http://schemas.openxmlformats.org/officeDocument/2006/relationships/hyperlink" Target="http://en.wikipedia.org/wiki/Medford,_Massachusetts" TargetMode="External"/><Relationship Id="rId378" Type="http://schemas.openxmlformats.org/officeDocument/2006/relationships/hyperlink" Target="http://en.wikipedia.org/wiki/College_of_St._Joseph" TargetMode="External"/><Relationship Id="rId403" Type="http://schemas.openxmlformats.org/officeDocument/2006/relationships/hyperlink" Target="http://en.wikipedia.org/wiki/Northfield,_Vermont" TargetMode="External"/><Relationship Id="rId585" Type="http://schemas.openxmlformats.org/officeDocument/2006/relationships/hyperlink" Target="https://en.wikipedia.org/wiki/Princeton,_New_Jersey" TargetMode="External"/><Relationship Id="rId750" Type="http://schemas.openxmlformats.org/officeDocument/2006/relationships/hyperlink" Target="https://en.wikipedia.org/wiki/Widener_University" TargetMode="External"/><Relationship Id="rId792" Type="http://schemas.openxmlformats.org/officeDocument/2006/relationships/hyperlink" Target="https://en.wikipedia.org/wiki/Frostburg,_Maryland" TargetMode="External"/><Relationship Id="rId806" Type="http://schemas.openxmlformats.org/officeDocument/2006/relationships/hyperlink" Target="https://en.wikipedia.org/wiki/Baltimore,_Maryland" TargetMode="External"/><Relationship Id="rId848" Type="http://schemas.openxmlformats.org/officeDocument/2006/relationships/hyperlink" Target="https://en.wikipedia.org/wiki/Georgetown_University" TargetMode="External"/><Relationship Id="rId6" Type="http://schemas.openxmlformats.org/officeDocument/2006/relationships/hyperlink" Target="http://en.wikipedia.org/wiki/Amherst,_Massachusetts" TargetMode="External"/><Relationship Id="rId238" Type="http://schemas.openxmlformats.org/officeDocument/2006/relationships/hyperlink" Target="http://en.wikipedia.org/wiki/Smithfield,_Rhode_Island" TargetMode="External"/><Relationship Id="rId445" Type="http://schemas.openxmlformats.org/officeDocument/2006/relationships/hyperlink" Target="http://en.wikipedia.org/wiki/College_of_Mount_St._Vincent" TargetMode="External"/><Relationship Id="rId487" Type="http://schemas.openxmlformats.org/officeDocument/2006/relationships/hyperlink" Target="http://en.wikipedia.org/wiki/New_York_University" TargetMode="External"/><Relationship Id="rId610" Type="http://schemas.openxmlformats.org/officeDocument/2006/relationships/hyperlink" Target="https://en.wikipedia.org/wiki/The_New_Church" TargetMode="External"/><Relationship Id="rId652" Type="http://schemas.openxmlformats.org/officeDocument/2006/relationships/hyperlink" Target="https://en.wikipedia.org/wiki/Dauphin_County,_Pennsylvania" TargetMode="External"/><Relationship Id="rId694" Type="http://schemas.openxmlformats.org/officeDocument/2006/relationships/hyperlink" Target="https://en.wikipedia.org/wiki/Thiel_College" TargetMode="External"/><Relationship Id="rId708" Type="http://schemas.openxmlformats.org/officeDocument/2006/relationships/hyperlink" Target="https://en.wikipedia.org/wiki/Philadelphia" TargetMode="External"/><Relationship Id="rId291" Type="http://schemas.openxmlformats.org/officeDocument/2006/relationships/hyperlink" Target="http://en.wikipedia.org/wiki/Carnegie_Classification_of_Institutions_of_Higher_Education" TargetMode="External"/><Relationship Id="rId305" Type="http://schemas.openxmlformats.org/officeDocument/2006/relationships/hyperlink" Target="https://machias.edu/assets/files/CDS/CDS_2011-2012.pdf" TargetMode="External"/><Relationship Id="rId347" Type="http://schemas.openxmlformats.org/officeDocument/2006/relationships/hyperlink" Target="http://en.wikipedia.org/wiki/Manchester,_New_Hampshire" TargetMode="External"/><Relationship Id="rId512" Type="http://schemas.openxmlformats.org/officeDocument/2006/relationships/hyperlink" Target="http://en.wikipedia.org/wiki/Wells_College" TargetMode="External"/><Relationship Id="rId44" Type="http://schemas.openxmlformats.org/officeDocument/2006/relationships/hyperlink" Target="http://en.wikipedia.org/wiki/Carnegie_Classification_of_Institutions_of_Higher_Education" TargetMode="External"/><Relationship Id="rId86" Type="http://schemas.openxmlformats.org/officeDocument/2006/relationships/hyperlink" Target="http://en.wikipedia.org/wiki/Fitchburg,_Massachusetts" TargetMode="External"/><Relationship Id="rId151" Type="http://schemas.openxmlformats.org/officeDocument/2006/relationships/hyperlink" Target="http://en.wikipedia.org/wiki/Non-profit" TargetMode="External"/><Relationship Id="rId389" Type="http://schemas.openxmlformats.org/officeDocument/2006/relationships/hyperlink" Target="http://en.wikipedia.org/wiki/Johnson_State_College" TargetMode="External"/><Relationship Id="rId554" Type="http://schemas.openxmlformats.org/officeDocument/2006/relationships/hyperlink" Target="https://en.wikipedia.org/wiki/Ramapo_College" TargetMode="External"/><Relationship Id="rId596" Type="http://schemas.openxmlformats.org/officeDocument/2006/relationships/hyperlink" Target="https://en.wikipedia.org/wiki/List_of_colleges_and_universities_in_New_Jersey" TargetMode="External"/><Relationship Id="rId761" Type="http://schemas.openxmlformats.org/officeDocument/2006/relationships/hyperlink" Target="https://en.wikipedia.org/wiki/Mansfield_University_of_Pennsylvania" TargetMode="External"/><Relationship Id="rId817" Type="http://schemas.openxmlformats.org/officeDocument/2006/relationships/hyperlink" Target="https://en.wikipedia.org/wiki/Towson,_Maryland" TargetMode="External"/><Relationship Id="rId859" Type="http://schemas.openxmlformats.org/officeDocument/2006/relationships/hyperlink" Target="http://www.ccsu.edu/index/search.html?q=retention+rate" TargetMode="External"/><Relationship Id="rId193" Type="http://schemas.openxmlformats.org/officeDocument/2006/relationships/hyperlink" Target="http://en.wikipedia.org/wiki/University_of_Massachusetts_Dartmouth" TargetMode="External"/><Relationship Id="rId207" Type="http://schemas.openxmlformats.org/officeDocument/2006/relationships/hyperlink" Target="http://en.wikipedia.org/wiki/Non-profit" TargetMode="External"/><Relationship Id="rId249" Type="http://schemas.openxmlformats.org/officeDocument/2006/relationships/hyperlink" Target="http://en.wikipedia.org/wiki/Roman_Catholic" TargetMode="External"/><Relationship Id="rId414" Type="http://schemas.openxmlformats.org/officeDocument/2006/relationships/hyperlink" Target="http://en.wikipedia.org/wiki/Carnegie_Classification_of_Institutions_of_Higher_Education" TargetMode="External"/><Relationship Id="rId456" Type="http://schemas.openxmlformats.org/officeDocument/2006/relationships/hyperlink" Target="http://en.wikipedia.org/wiki/Dowling_College" TargetMode="External"/><Relationship Id="rId498" Type="http://schemas.openxmlformats.org/officeDocument/2006/relationships/hyperlink" Target="http://en.wikipedia.org/wiki/St._John_Fisher_College" TargetMode="External"/><Relationship Id="rId621" Type="http://schemas.openxmlformats.org/officeDocument/2006/relationships/hyperlink" Target="https://en.wikipedia.org/wiki/Catholic" TargetMode="External"/><Relationship Id="rId663" Type="http://schemas.openxmlformats.org/officeDocument/2006/relationships/hyperlink" Target="https://en.wikipedia.org/wiki/Lafayette_College" TargetMode="External"/><Relationship Id="rId870" Type="http://schemas.openxmlformats.org/officeDocument/2006/relationships/hyperlink" Target="http://umaine.edu/oir/files/2012/09/0413_rateTOTAL.pdf" TargetMode="External"/><Relationship Id="rId13" Type="http://schemas.openxmlformats.org/officeDocument/2006/relationships/hyperlink" Target="http://en.wikipedia.org/wiki/Assumption_College" TargetMode="External"/><Relationship Id="rId109" Type="http://schemas.openxmlformats.org/officeDocument/2006/relationships/hyperlink" Target="http://en.wikipedia.org/wiki/Lesley_University" TargetMode="External"/><Relationship Id="rId260" Type="http://schemas.openxmlformats.org/officeDocument/2006/relationships/hyperlink" Target="http://en.wikipedia.org/wiki/Carnegie_Classification_of_Institutions_of_Higher_Education" TargetMode="External"/><Relationship Id="rId316" Type="http://schemas.openxmlformats.org/officeDocument/2006/relationships/hyperlink" Target="http://en.wikipedia.org/wiki/Carnegie_Classification_of_Institutions_of_Higher_Education" TargetMode="External"/><Relationship Id="rId523" Type="http://schemas.openxmlformats.org/officeDocument/2006/relationships/hyperlink" Target="http://en.wikipedia.org/wiki/Cornell_University_College_of_Human_Ecology" TargetMode="External"/><Relationship Id="rId719" Type="http://schemas.openxmlformats.org/officeDocument/2006/relationships/hyperlink" Target="https://en.wikipedia.org/wiki/Immaculata_University" TargetMode="External"/><Relationship Id="rId55" Type="http://schemas.openxmlformats.org/officeDocument/2006/relationships/hyperlink" Target="http://en.wikipedia.org/wiki/Non-profit" TargetMode="External"/><Relationship Id="rId97" Type="http://schemas.openxmlformats.org/officeDocument/2006/relationships/hyperlink" Target="http://en.wikipedia.org/wiki/Hampshire_College" TargetMode="External"/><Relationship Id="rId120" Type="http://schemas.openxmlformats.org/officeDocument/2006/relationships/hyperlink" Target="http://en.wikipedia.org/wiki/Research_university" TargetMode="External"/><Relationship Id="rId358" Type="http://schemas.openxmlformats.org/officeDocument/2006/relationships/hyperlink" Target="http://en.wikipedia.org/wiki/Durham,_New_Hampshire" TargetMode="External"/><Relationship Id="rId565" Type="http://schemas.openxmlformats.org/officeDocument/2006/relationships/hyperlink" Target="https://en.wikipedia.org/wiki/Wayne,_New_Jersey" TargetMode="External"/><Relationship Id="rId730" Type="http://schemas.openxmlformats.org/officeDocument/2006/relationships/hyperlink" Target="https://en.wikipedia.org/wiki/Aston_Township,_Delaware_County,_Pennsylvania" TargetMode="External"/><Relationship Id="rId772" Type="http://schemas.openxmlformats.org/officeDocument/2006/relationships/hyperlink" Target="https://en.wikipedia.org/wiki/Alvernia_University" TargetMode="External"/><Relationship Id="rId828" Type="http://schemas.openxmlformats.org/officeDocument/2006/relationships/hyperlink" Target="https://en.wikipedia.org/wiki/McDaniel_College" TargetMode="External"/><Relationship Id="rId162" Type="http://schemas.openxmlformats.org/officeDocument/2006/relationships/hyperlink" Target="http://en.wikipedia.org/wiki/Boston" TargetMode="External"/><Relationship Id="rId218" Type="http://schemas.openxmlformats.org/officeDocument/2006/relationships/hyperlink" Target="http://en.wikipedia.org/wiki/Boston" TargetMode="External"/><Relationship Id="rId425" Type="http://schemas.openxmlformats.org/officeDocument/2006/relationships/hyperlink" Target="http://en.wikipedia.org/wiki/John_Jay_College_of_Criminal_Justice" TargetMode="External"/><Relationship Id="rId467" Type="http://schemas.openxmlformats.org/officeDocument/2006/relationships/hyperlink" Target="http://en.wikipedia.org/wiki/Ithaca_College" TargetMode="External"/><Relationship Id="rId632" Type="http://schemas.openxmlformats.org/officeDocument/2006/relationships/hyperlink" Target="https://en.wikipedia.org/wiki/Upper_Saucon_Township,_Lehigh_County,_Pennsylvania" TargetMode="External"/><Relationship Id="rId271" Type="http://schemas.openxmlformats.org/officeDocument/2006/relationships/hyperlink" Target="http://en.wikipedia.org/wiki/Standish,_Maine" TargetMode="External"/><Relationship Id="rId674" Type="http://schemas.openxmlformats.org/officeDocument/2006/relationships/hyperlink" Target="https://en.wikipedia.org/wiki/Bethlehem,_Pennsylvania" TargetMode="External"/><Relationship Id="rId881" Type="http://schemas.openxmlformats.org/officeDocument/2006/relationships/hyperlink" Target="http://www.temple.edu/ira/documents/data-analysis/Fact-Book/TU_Fact_Book_2014-2015.pdf" TargetMode="External"/><Relationship Id="rId24" Type="http://schemas.openxmlformats.org/officeDocument/2006/relationships/hyperlink" Target="http://en.wikipedia.org/wiki/Carnegie_Classification_of_Institutions_of_Higher_Education" TargetMode="External"/><Relationship Id="rId66" Type="http://schemas.openxmlformats.org/officeDocument/2006/relationships/hyperlink" Target="http://en.wikipedia.org/wiki/Chicopee,_Massachusetts" TargetMode="External"/><Relationship Id="rId131" Type="http://schemas.openxmlformats.org/officeDocument/2006/relationships/hyperlink" Target="http://en.wikipedia.org/wiki/Non-profit" TargetMode="External"/><Relationship Id="rId327" Type="http://schemas.openxmlformats.org/officeDocument/2006/relationships/hyperlink" Target="http://en.wikipedia.org/wiki/Keene,_New_Hampshire" TargetMode="External"/><Relationship Id="rId369" Type="http://schemas.openxmlformats.org/officeDocument/2006/relationships/hyperlink" Target="http://en.wikipedia.org/wiki/Burlington_College" TargetMode="External"/><Relationship Id="rId534" Type="http://schemas.openxmlformats.org/officeDocument/2006/relationships/hyperlink" Target="http://en.wikipedia.org/wiki/Buffalo_State_College" TargetMode="External"/><Relationship Id="rId576" Type="http://schemas.openxmlformats.org/officeDocument/2006/relationships/hyperlink" Target="https://en.wikipedia.org/wiki/Drew_University" TargetMode="External"/><Relationship Id="rId741" Type="http://schemas.openxmlformats.org/officeDocument/2006/relationships/hyperlink" Target="https://en.wikipedia.org/wiki/Scranton,_Pennsylvania" TargetMode="External"/><Relationship Id="rId783" Type="http://schemas.openxmlformats.org/officeDocument/2006/relationships/hyperlink" Target="https://en.wikipedia.org/wiki/University_of_Delaware" TargetMode="External"/><Relationship Id="rId839" Type="http://schemas.openxmlformats.org/officeDocument/2006/relationships/hyperlink" Target="https://en.wikipedia.org/wiki/Takoma_Park,_Maryland" TargetMode="External"/><Relationship Id="rId173" Type="http://schemas.openxmlformats.org/officeDocument/2006/relationships/hyperlink" Target="http://en.wikipedia.org/wiki/Stonehill_College" TargetMode="External"/><Relationship Id="rId229" Type="http://schemas.openxmlformats.org/officeDocument/2006/relationships/hyperlink" Target="http://en.wikipedia.org/wiki/Worcester_State_University" TargetMode="External"/><Relationship Id="rId380" Type="http://schemas.openxmlformats.org/officeDocument/2006/relationships/hyperlink" Target="http://en.wikipedia.org/wiki/Roman_Catholic_Church" TargetMode="External"/><Relationship Id="rId436" Type="http://schemas.openxmlformats.org/officeDocument/2006/relationships/hyperlink" Target="http://en.wikipedia.org/wiki/Albany_College_of_Pharmacy_and_Health_Sciences" TargetMode="External"/><Relationship Id="rId601" Type="http://schemas.openxmlformats.org/officeDocument/2006/relationships/hyperlink" Target="https://en.wikipedia.org/wiki/Albright_College" TargetMode="External"/><Relationship Id="rId643" Type="http://schemas.openxmlformats.org/officeDocument/2006/relationships/hyperlink" Target="https://en.wikipedia.org/wiki/Gettysburg_College" TargetMode="External"/><Relationship Id="rId240" Type="http://schemas.openxmlformats.org/officeDocument/2006/relationships/hyperlink" Target="http://en.wikipedia.org/wiki/Johnson_%26_Wales_University" TargetMode="External"/><Relationship Id="rId478" Type="http://schemas.openxmlformats.org/officeDocument/2006/relationships/hyperlink" Target="http://en.wikipedia.org/wiki/Marymount_Manhattan_College" TargetMode="External"/><Relationship Id="rId685" Type="http://schemas.openxmlformats.org/officeDocument/2006/relationships/hyperlink" Target="https://en.wikipedia.org/wiki/Lower_Merion_Township,_Montgomery_County,_Pennsylvania" TargetMode="External"/><Relationship Id="rId850" Type="http://schemas.openxmlformats.org/officeDocument/2006/relationships/hyperlink" Target="https://en.wikipedia.org/wiki/Howard_University" TargetMode="External"/><Relationship Id="rId35" Type="http://schemas.openxmlformats.org/officeDocument/2006/relationships/hyperlink" Target="http://en.wikipedia.org/wiki/Non-profit" TargetMode="External"/><Relationship Id="rId77" Type="http://schemas.openxmlformats.org/officeDocument/2006/relationships/hyperlink" Target="http://en.wikipedia.org/wiki/Endicott_College" TargetMode="External"/><Relationship Id="rId100" Type="http://schemas.openxmlformats.org/officeDocument/2006/relationships/hyperlink" Target="http://en.wikipedia.org/wiki/Carnegie_Classification_of_Institutions_of_Higher_Education" TargetMode="External"/><Relationship Id="rId282" Type="http://schemas.openxmlformats.org/officeDocument/2006/relationships/hyperlink" Target="http://en.wikipedia.org/wiki/Carnegie_Classification_of_Institutions_of_Higher_Education" TargetMode="External"/><Relationship Id="rId338" Type="http://schemas.openxmlformats.org/officeDocument/2006/relationships/hyperlink" Target="http://en.wikipedia.org/wiki/Rivier_University" TargetMode="External"/><Relationship Id="rId503" Type="http://schemas.openxmlformats.org/officeDocument/2006/relationships/hyperlink" Target="http://en.wikipedia.org/wiki/Syracuse_University" TargetMode="External"/><Relationship Id="rId545" Type="http://schemas.openxmlformats.org/officeDocument/2006/relationships/hyperlink" Target="http://en.wikipedia.org/wiki/State_University_of_New_York_at_Potsdam" TargetMode="External"/><Relationship Id="rId587" Type="http://schemas.openxmlformats.org/officeDocument/2006/relationships/hyperlink" Target="https://en.wikipedia.org/wiki/Saint_Peter%27s_University" TargetMode="External"/><Relationship Id="rId710" Type="http://schemas.openxmlformats.org/officeDocument/2006/relationships/hyperlink" Target="https://en.wikipedia.org/wiki/Pittsburgh" TargetMode="External"/><Relationship Id="rId752" Type="http://schemas.openxmlformats.org/officeDocument/2006/relationships/hyperlink" Target="https://en.wikipedia.org/wiki/Bloomsburg_University_of_Pennsylvania" TargetMode="External"/><Relationship Id="rId808" Type="http://schemas.openxmlformats.org/officeDocument/2006/relationships/hyperlink" Target="https://en.wikipedia.org/wiki/University_of_Maryland,_College_Park" TargetMode="External"/><Relationship Id="rId8" Type="http://schemas.openxmlformats.org/officeDocument/2006/relationships/hyperlink" Target="http://en.wikipedia.org/wiki/Carnegie_Classification_of_Institutions_of_Higher_Education" TargetMode="External"/><Relationship Id="rId142" Type="http://schemas.openxmlformats.org/officeDocument/2006/relationships/hyperlink" Target="http://en.wikipedia.org/wiki/Brookline,_Massachusetts" TargetMode="External"/><Relationship Id="rId184" Type="http://schemas.openxmlformats.org/officeDocument/2006/relationships/hyperlink" Target="http://en.wikipedia.org/wiki/Research_university" TargetMode="External"/><Relationship Id="rId391" Type="http://schemas.openxmlformats.org/officeDocument/2006/relationships/hyperlink" Target="http://en.wikipedia.org/wiki/Carnegie_Classification_of_Institutions_of_Higher_Education" TargetMode="External"/><Relationship Id="rId405" Type="http://schemas.openxmlformats.org/officeDocument/2006/relationships/hyperlink" Target="http://en.wikipedia.org/wiki/Saint_Michael%27s_College" TargetMode="External"/><Relationship Id="rId447" Type="http://schemas.openxmlformats.org/officeDocument/2006/relationships/hyperlink" Target="http://en.wikipedia.org/wiki/College_of_St._Rose" TargetMode="External"/><Relationship Id="rId612" Type="http://schemas.openxmlformats.org/officeDocument/2006/relationships/hyperlink" Target="https://en.wikipedia.org/wiki/East_Buffalo_Township,_Union_County,_Pennsylvania" TargetMode="External"/><Relationship Id="rId794" Type="http://schemas.openxmlformats.org/officeDocument/2006/relationships/hyperlink" Target="https://en.wikipedia.org/wiki/Baltimore,_Maryland" TargetMode="External"/><Relationship Id="rId251" Type="http://schemas.openxmlformats.org/officeDocument/2006/relationships/hyperlink" Target="http://en.wikipedia.org/wiki/Rhode_Island_College" TargetMode="External"/><Relationship Id="rId489" Type="http://schemas.openxmlformats.org/officeDocument/2006/relationships/hyperlink" Target="http://en.wikipedia.org/wiki/Rensselaer_Polytechnic_Institute" TargetMode="External"/><Relationship Id="rId654" Type="http://schemas.openxmlformats.org/officeDocument/2006/relationships/hyperlink" Target="https://en.wikipedia.org/wiki/Haverford_Township,_Delaware_County,_Pennsylvania" TargetMode="External"/><Relationship Id="rId696" Type="http://schemas.openxmlformats.org/officeDocument/2006/relationships/hyperlink" Target="https://en.wikipedia.org/wiki/Ursinus_College" TargetMode="External"/><Relationship Id="rId861" Type="http://schemas.openxmlformats.org/officeDocument/2006/relationships/hyperlink" Target="http://www.fairfield.edu/media/fairfielduniversitywebsite/documents/about/ir_cds13-14_dataset_b.pdf" TargetMode="External"/><Relationship Id="rId46" Type="http://schemas.openxmlformats.org/officeDocument/2006/relationships/hyperlink" Target="http://en.wikipedia.org/wiki/Bridgewater,_Massachusetts" TargetMode="External"/><Relationship Id="rId293" Type="http://schemas.openxmlformats.org/officeDocument/2006/relationships/hyperlink" Target="http://en.wikipedia.org/wiki/Machias,_Maine" TargetMode="External"/><Relationship Id="rId307" Type="http://schemas.openxmlformats.org/officeDocument/2006/relationships/hyperlink" Target="http://en.wikipedia.org/wiki/Antioch_University_New_England" TargetMode="External"/><Relationship Id="rId349" Type="http://schemas.openxmlformats.org/officeDocument/2006/relationships/hyperlink" Target="http://en.wikipedia.org/wiki/The_College_of_Saint_Mary_Magdalen" TargetMode="External"/><Relationship Id="rId514" Type="http://schemas.openxmlformats.org/officeDocument/2006/relationships/hyperlink" Target="http://en.wikipedia.org/wiki/Binghamton_University" TargetMode="External"/><Relationship Id="rId556" Type="http://schemas.openxmlformats.org/officeDocument/2006/relationships/hyperlink" Target="https://en.wikipedia.org/wiki/Stockton_University" TargetMode="External"/><Relationship Id="rId721" Type="http://schemas.openxmlformats.org/officeDocument/2006/relationships/hyperlink" Target="https://en.wikipedia.org/wiki/La_Salle_University" TargetMode="External"/><Relationship Id="rId763" Type="http://schemas.openxmlformats.org/officeDocument/2006/relationships/hyperlink" Target="https://en.wikipedia.org/wiki/Shippensburg_University_of_Pennsylvania" TargetMode="External"/><Relationship Id="rId88" Type="http://schemas.openxmlformats.org/officeDocument/2006/relationships/hyperlink" Target="http://en.wikipedia.org/wiki/Carnegie_Classification_of_Institutions_of_Higher_Education" TargetMode="External"/><Relationship Id="rId111" Type="http://schemas.openxmlformats.org/officeDocument/2006/relationships/hyperlink" Target="http://en.wikipedia.org/wiki/Non-profit" TargetMode="External"/><Relationship Id="rId153" Type="http://schemas.openxmlformats.org/officeDocument/2006/relationships/hyperlink" Target="http://en.wikipedia.org/wiki/Regis_College,_Massachusetts" TargetMode="External"/><Relationship Id="rId195" Type="http://schemas.openxmlformats.org/officeDocument/2006/relationships/hyperlink" Target="http://en.wikipedia.org/wiki/Public_university" TargetMode="External"/><Relationship Id="rId209" Type="http://schemas.openxmlformats.org/officeDocument/2006/relationships/hyperlink" Target="http://en.wikipedia.org/wiki/Westfield_State_University" TargetMode="External"/><Relationship Id="rId360" Type="http://schemas.openxmlformats.org/officeDocument/2006/relationships/hyperlink" Target="http://en.wikipedia.org/wiki/University_of_New_Hampshire_at_Manchester" TargetMode="External"/><Relationship Id="rId416" Type="http://schemas.openxmlformats.org/officeDocument/2006/relationships/hyperlink" Target="http://en.wikipedia.org/wiki/Burlington,_Vermont" TargetMode="External"/><Relationship Id="rId598" Type="http://schemas.openxmlformats.org/officeDocument/2006/relationships/hyperlink" Target="https://en.wikipedia.org/wiki/List_of_colleges_and_universities_in_New_Jersey" TargetMode="External"/><Relationship Id="rId819" Type="http://schemas.openxmlformats.org/officeDocument/2006/relationships/hyperlink" Target="https://en.wikipedia.org/wiki/Frederick,_Maryland" TargetMode="External"/><Relationship Id="rId220" Type="http://schemas.openxmlformats.org/officeDocument/2006/relationships/hyperlink" Target="http://en.wikipedia.org/wiki/Master%27s_degree" TargetMode="External"/><Relationship Id="rId458" Type="http://schemas.openxmlformats.org/officeDocument/2006/relationships/hyperlink" Target="http://en.wikipedia.org/wiki/Five_Towns_College" TargetMode="External"/><Relationship Id="rId623" Type="http://schemas.openxmlformats.org/officeDocument/2006/relationships/hyperlink" Target="https://en.wikipedia.org/wiki/Allentown,_Pennsylvania" TargetMode="External"/><Relationship Id="rId665" Type="http://schemas.openxmlformats.org/officeDocument/2006/relationships/hyperlink" Target="https://en.wikipedia.org/wiki/Lebanon_Valley_College" TargetMode="External"/><Relationship Id="rId830" Type="http://schemas.openxmlformats.org/officeDocument/2006/relationships/hyperlink" Target="https://en.wikipedia.org/wiki/Mount_St._Mary%27s_University" TargetMode="External"/><Relationship Id="rId872" Type="http://schemas.openxmlformats.org/officeDocument/2006/relationships/hyperlink" Target="http://www.umf.maine.edu/about/umf-facts/" TargetMode="External"/><Relationship Id="rId15" Type="http://schemas.openxmlformats.org/officeDocument/2006/relationships/hyperlink" Target="http://en.wikipedia.org/wiki/Non-profit" TargetMode="External"/><Relationship Id="rId57" Type="http://schemas.openxmlformats.org/officeDocument/2006/relationships/hyperlink" Target="http://en.wikipedia.org/wiki/College_of_the_Holy_Cross" TargetMode="External"/><Relationship Id="rId262" Type="http://schemas.openxmlformats.org/officeDocument/2006/relationships/hyperlink" Target="http://en.wikipedia.org/wiki/Carnegie_Classification_of_Institutions_of_Higher_Education" TargetMode="External"/><Relationship Id="rId318" Type="http://schemas.openxmlformats.org/officeDocument/2006/relationships/hyperlink" Target="http://en.wikipedia.org/wiki/Hanover,_New_Hampshire" TargetMode="External"/><Relationship Id="rId525" Type="http://schemas.openxmlformats.org/officeDocument/2006/relationships/hyperlink" Target="http://en.wikipedia.org/wiki/Cornell_University_School_of_Industrial_and_Labor_Relations" TargetMode="External"/><Relationship Id="rId567" Type="http://schemas.openxmlformats.org/officeDocument/2006/relationships/hyperlink" Target="https://en.wikipedia.org/wiki/Bloomfield,_New_Jersey" TargetMode="External"/><Relationship Id="rId732" Type="http://schemas.openxmlformats.org/officeDocument/2006/relationships/hyperlink" Target="https://en.wikipedia.org/wiki/Philadelphia" TargetMode="External"/><Relationship Id="rId99" Type="http://schemas.openxmlformats.org/officeDocument/2006/relationships/hyperlink" Target="http://en.wikipedia.org/wiki/Non-profit" TargetMode="External"/><Relationship Id="rId122" Type="http://schemas.openxmlformats.org/officeDocument/2006/relationships/hyperlink" Target="http://en.wikipedia.org/wiki/Bourne,_Massachusetts" TargetMode="External"/><Relationship Id="rId164" Type="http://schemas.openxmlformats.org/officeDocument/2006/relationships/hyperlink" Target="http://en.wikipedia.org/wiki/Carnegie_Classification_of_Institutions_of_Higher_Education" TargetMode="External"/><Relationship Id="rId371" Type="http://schemas.openxmlformats.org/officeDocument/2006/relationships/hyperlink" Target="http://en.wikipedia.org/wiki/Carnegie_Classification_of_Institutions_of_Higher_Education" TargetMode="External"/><Relationship Id="rId774" Type="http://schemas.openxmlformats.org/officeDocument/2006/relationships/hyperlink" Target="https://en.wikipedia.org/wiki/Roman_Catholic_Church" TargetMode="External"/><Relationship Id="rId427" Type="http://schemas.openxmlformats.org/officeDocument/2006/relationships/hyperlink" Target="http://en.wikipedia.org/wiki/Medgar_Evers_College" TargetMode="External"/><Relationship Id="rId469" Type="http://schemas.openxmlformats.org/officeDocument/2006/relationships/hyperlink" Target="http://en.wikipedia.org/wiki/Keuka_College" TargetMode="External"/><Relationship Id="rId634" Type="http://schemas.openxmlformats.org/officeDocument/2006/relationships/hyperlink" Target="https://en.wikipedia.org/wiki/Carlisle,_Pennsylvania" TargetMode="External"/><Relationship Id="rId676" Type="http://schemas.openxmlformats.org/officeDocument/2006/relationships/hyperlink" Target="https://en.wikipedia.org/wiki/Mount_Aloysius_College" TargetMode="External"/><Relationship Id="rId841" Type="http://schemas.openxmlformats.org/officeDocument/2006/relationships/hyperlink" Target="https://en.wikipedia.org/wiki/Chestertown,_Maryland" TargetMode="External"/><Relationship Id="rId883" Type="http://schemas.openxmlformats.org/officeDocument/2006/relationships/hyperlink" Target="http://www2.mcdaniel.edu/Bus_Econ/clayco/4daymcd/ivy/FourDayWeeksintheIvyLeague.pdf" TargetMode="External"/><Relationship Id="rId26" Type="http://schemas.openxmlformats.org/officeDocument/2006/relationships/hyperlink" Target="http://en.wikipedia.org/wiki/Worcester,_Massachusetts" TargetMode="External"/><Relationship Id="rId231" Type="http://schemas.openxmlformats.org/officeDocument/2006/relationships/hyperlink" Target="http://en.wikipedia.org/wiki/Public_university" TargetMode="External"/><Relationship Id="rId273" Type="http://schemas.openxmlformats.org/officeDocument/2006/relationships/hyperlink" Target="http://en.wikipedia.org/wiki/Carnegie_Classification_of_Institutions_of_Higher_Education" TargetMode="External"/><Relationship Id="rId329" Type="http://schemas.openxmlformats.org/officeDocument/2006/relationships/hyperlink" Target="http://en.wikipedia.org/wiki/Mount_Washington_College" TargetMode="External"/><Relationship Id="rId480" Type="http://schemas.openxmlformats.org/officeDocument/2006/relationships/hyperlink" Target="http://en.wikipedia.org/wiki/Mercy_College_%28New_York%29" TargetMode="External"/><Relationship Id="rId536" Type="http://schemas.openxmlformats.org/officeDocument/2006/relationships/hyperlink" Target="http://en.wikipedia.org/wiki/State_University_of_New_York_at_Brockport" TargetMode="External"/><Relationship Id="rId701" Type="http://schemas.openxmlformats.org/officeDocument/2006/relationships/hyperlink" Target="https://en.wikipedia.org/wiki/New_Wilmington,_Pennsylvania" TargetMode="External"/><Relationship Id="rId68" Type="http://schemas.openxmlformats.org/officeDocument/2006/relationships/hyperlink" Target="http://en.wikipedia.org/wiki/Carnegie_Classification_of_Institutions_of_Higher_Education" TargetMode="External"/><Relationship Id="rId133" Type="http://schemas.openxmlformats.org/officeDocument/2006/relationships/hyperlink" Target="http://en.wikipedia.org/wiki/Mount_Holyoke_College" TargetMode="External"/><Relationship Id="rId175" Type="http://schemas.openxmlformats.org/officeDocument/2006/relationships/hyperlink" Target="http://en.wikipedia.org/wiki/Non-profit" TargetMode="External"/><Relationship Id="rId340" Type="http://schemas.openxmlformats.org/officeDocument/2006/relationships/hyperlink" Target="http://en.wikipedia.org/wiki/Roman_Catholic_Church" TargetMode="External"/><Relationship Id="rId578" Type="http://schemas.openxmlformats.org/officeDocument/2006/relationships/hyperlink" Target="https://en.wikipedia.org/wiki/Fairleigh_Dickinson_University" TargetMode="External"/><Relationship Id="rId743" Type="http://schemas.openxmlformats.org/officeDocument/2006/relationships/hyperlink" Target="https://en.wikipedia.org/wiki/Philadelphia" TargetMode="External"/><Relationship Id="rId785" Type="http://schemas.openxmlformats.org/officeDocument/2006/relationships/hyperlink" Target="https://en.wikipedia.org/wiki/Delaware_State_University" TargetMode="External"/><Relationship Id="rId200" Type="http://schemas.openxmlformats.org/officeDocument/2006/relationships/hyperlink" Target="http://en.wikipedia.org/wiki/Research_university" TargetMode="External"/><Relationship Id="rId382" Type="http://schemas.openxmlformats.org/officeDocument/2006/relationships/hyperlink" Target="http://en.wikipedia.org/wiki/Goddard_College" TargetMode="External"/><Relationship Id="rId438" Type="http://schemas.openxmlformats.org/officeDocument/2006/relationships/hyperlink" Target="http://en.wikipedia.org/wiki/Bard_College" TargetMode="External"/><Relationship Id="rId603" Type="http://schemas.openxmlformats.org/officeDocument/2006/relationships/hyperlink" Target="https://en.wikipedia.org/wiki/United_Methodist_Church" TargetMode="External"/><Relationship Id="rId645" Type="http://schemas.openxmlformats.org/officeDocument/2006/relationships/hyperlink" Target="https://en.wikipedia.org/wiki/Evangelical_Lutheran_Church_in_America" TargetMode="External"/><Relationship Id="rId687" Type="http://schemas.openxmlformats.org/officeDocument/2006/relationships/hyperlink" Target="https://en.wikipedia.org/wiki/Unity_Township,_Westmoreland_County,_Pennsylvania" TargetMode="External"/><Relationship Id="rId810" Type="http://schemas.openxmlformats.org/officeDocument/2006/relationships/hyperlink" Target="https://en.wikipedia.org/wiki/University_of_Maryland_Eastern_Shore" TargetMode="External"/><Relationship Id="rId852" Type="http://schemas.openxmlformats.org/officeDocument/2006/relationships/hyperlink" Target="https://en.wikipedia.org/wiki/Trinity_Washington_University" TargetMode="External"/><Relationship Id="rId242" Type="http://schemas.openxmlformats.org/officeDocument/2006/relationships/hyperlink" Target="http://en.wikipedia.org/wiki/Carnegie_Classification_of_Institutions_of_Higher_Education" TargetMode="External"/><Relationship Id="rId284" Type="http://schemas.openxmlformats.org/officeDocument/2006/relationships/hyperlink" Target="http://en.wikipedia.org/wiki/Augusta,_Maine" TargetMode="External"/><Relationship Id="rId491" Type="http://schemas.openxmlformats.org/officeDocument/2006/relationships/hyperlink" Target="http://en.wikipedia.org/wiki/Rochester_Institute_of_Technology" TargetMode="External"/><Relationship Id="rId505" Type="http://schemas.openxmlformats.org/officeDocument/2006/relationships/hyperlink" Target="http://en.wikipedia.org/wiki/University_of_Rochester" TargetMode="External"/><Relationship Id="rId712" Type="http://schemas.openxmlformats.org/officeDocument/2006/relationships/hyperlink" Target="https://en.wikipedia.org/wiki/Eastern_University_%28United_States%29" TargetMode="External"/><Relationship Id="rId37" Type="http://schemas.openxmlformats.org/officeDocument/2006/relationships/hyperlink" Target="http://en.wikipedia.org/wiki/Boston_University" TargetMode="External"/><Relationship Id="rId79" Type="http://schemas.openxmlformats.org/officeDocument/2006/relationships/hyperlink" Target="http://en.wikipedia.org/wiki/Non-profit" TargetMode="External"/><Relationship Id="rId102" Type="http://schemas.openxmlformats.org/officeDocument/2006/relationships/hyperlink" Target="http://en.wikipedia.org/wiki/Cambridge,_Massachusetts" TargetMode="External"/><Relationship Id="rId144" Type="http://schemas.openxmlformats.org/officeDocument/2006/relationships/hyperlink" Target="http://en.wikipedia.org/wiki/Carnegie_Classification_of_Institutions_of_Higher_Education" TargetMode="External"/><Relationship Id="rId547" Type="http://schemas.openxmlformats.org/officeDocument/2006/relationships/hyperlink" Target="https://en.wikipedia.org/wiki/Kean_University" TargetMode="External"/><Relationship Id="rId589" Type="http://schemas.openxmlformats.org/officeDocument/2006/relationships/hyperlink" Target="https://en.wikipedia.org/wiki/Seton_Hall_University" TargetMode="External"/><Relationship Id="rId754" Type="http://schemas.openxmlformats.org/officeDocument/2006/relationships/hyperlink" Target="https://en.wikipedia.org/wiki/Cheyney_University_of_Pennsylvania" TargetMode="External"/><Relationship Id="rId796" Type="http://schemas.openxmlformats.org/officeDocument/2006/relationships/hyperlink" Target="https://en.wikipedia.org/wiki/Salisbury,_Maryland" TargetMode="External"/><Relationship Id="rId90" Type="http://schemas.openxmlformats.org/officeDocument/2006/relationships/hyperlink" Target="http://en.wikipedia.org/wiki/Framingham,_Massachusetts" TargetMode="External"/><Relationship Id="rId186" Type="http://schemas.openxmlformats.org/officeDocument/2006/relationships/hyperlink" Target="http://en.wikipedia.org/wiki/Amherst,_Massachusetts" TargetMode="External"/><Relationship Id="rId351" Type="http://schemas.openxmlformats.org/officeDocument/2006/relationships/hyperlink" Target="http://en.wikipedia.org/wiki/Roman_Catholic_Church" TargetMode="External"/><Relationship Id="rId393" Type="http://schemas.openxmlformats.org/officeDocument/2006/relationships/hyperlink" Target="http://en.wikipedia.org/wiki/Lyndonville,_Vermont" TargetMode="External"/><Relationship Id="rId407" Type="http://schemas.openxmlformats.org/officeDocument/2006/relationships/hyperlink" Target="http://en.wikipedia.org/wiki/Roman_Catholic_Church" TargetMode="External"/><Relationship Id="rId449" Type="http://schemas.openxmlformats.org/officeDocument/2006/relationships/hyperlink" Target="http://en.wikipedia.org/wiki/Concordia_College_%28New_York%29" TargetMode="External"/><Relationship Id="rId614" Type="http://schemas.openxmlformats.org/officeDocument/2006/relationships/hyperlink" Target="https://en.wikipedia.org/wiki/Radnor_Township,_Delaware_County,_Pennsylvania" TargetMode="External"/><Relationship Id="rId656" Type="http://schemas.openxmlformats.org/officeDocument/2006/relationships/hyperlink" Target="https://en.wikipedia.org/wiki/Huntingdon,_Pennsylvania" TargetMode="External"/><Relationship Id="rId821" Type="http://schemas.openxmlformats.org/officeDocument/2006/relationships/hyperlink" Target="https://en.wikipedia.org/wiki/Baltimore,_Maryland" TargetMode="External"/><Relationship Id="rId863" Type="http://schemas.openxmlformats.org/officeDocument/2006/relationships/hyperlink" Target="http://www.newhaven.edu/774072.pdf" TargetMode="External"/><Relationship Id="rId211" Type="http://schemas.openxmlformats.org/officeDocument/2006/relationships/hyperlink" Target="http://en.wikipedia.org/wiki/Public_university" TargetMode="External"/><Relationship Id="rId253" Type="http://schemas.openxmlformats.org/officeDocument/2006/relationships/hyperlink" Target="http://en.wikipedia.org/wiki/Carnegie_Classification_of_Institutions_of_Higher_Education" TargetMode="External"/><Relationship Id="rId295" Type="http://schemas.openxmlformats.org/officeDocument/2006/relationships/hyperlink" Target="http://en.wikipedia.org/wiki/University_of_Maine_at_Presque_Isle" TargetMode="External"/><Relationship Id="rId309" Type="http://schemas.openxmlformats.org/officeDocument/2006/relationships/hyperlink" Target="http://en.wikipedia.org/wiki/Carnegie_Classification_of_Institutions_of_Higher_Education" TargetMode="External"/><Relationship Id="rId460" Type="http://schemas.openxmlformats.org/officeDocument/2006/relationships/hyperlink" Target="http://en.wikipedia.org/wiki/Hamilton_College_%28New_York%29" TargetMode="External"/><Relationship Id="rId516" Type="http://schemas.openxmlformats.org/officeDocument/2006/relationships/hyperlink" Target="http://en.wikipedia.org/wiki/University_at_Albany,_State_University_of_New_York" TargetMode="External"/><Relationship Id="rId698" Type="http://schemas.openxmlformats.org/officeDocument/2006/relationships/hyperlink" Target="https://en.wikipedia.org/wiki/Washington_%26_Jefferson_College" TargetMode="External"/><Relationship Id="rId48" Type="http://schemas.openxmlformats.org/officeDocument/2006/relationships/hyperlink" Target="http://en.wikipedia.org/wiki/Carnegie_Classification_of_Institutions_of_Higher_Education" TargetMode="External"/><Relationship Id="rId113" Type="http://schemas.openxmlformats.org/officeDocument/2006/relationships/hyperlink" Target="http://en.wikipedia.org/wiki/Massachusetts_College_of_Liberal_Arts" TargetMode="External"/><Relationship Id="rId320" Type="http://schemas.openxmlformats.org/officeDocument/2006/relationships/hyperlink" Target="http://en.wikipedia.org/wiki/Franklin_Pierce_University" TargetMode="External"/><Relationship Id="rId558" Type="http://schemas.openxmlformats.org/officeDocument/2006/relationships/hyperlink" Target="https://en.wikipedia.org/wiki/Rowan_University" TargetMode="External"/><Relationship Id="rId723" Type="http://schemas.openxmlformats.org/officeDocument/2006/relationships/hyperlink" Target="https://en.wikipedia.org/wiki/Lehigh_University" TargetMode="External"/><Relationship Id="rId765" Type="http://schemas.openxmlformats.org/officeDocument/2006/relationships/hyperlink" Target="https://en.wikipedia.org/wiki/West_Chester_University_of_Pennsylvania" TargetMode="External"/><Relationship Id="rId155" Type="http://schemas.openxmlformats.org/officeDocument/2006/relationships/hyperlink" Target="http://en.wikipedia.org/wiki/Non-profit" TargetMode="External"/><Relationship Id="rId197" Type="http://schemas.openxmlformats.org/officeDocument/2006/relationships/hyperlink" Target="http://en.wikipedia.org/wiki/University_of_Massachusetts_Lowell" TargetMode="External"/><Relationship Id="rId362" Type="http://schemas.openxmlformats.org/officeDocument/2006/relationships/hyperlink" Target="http://en.wikipedia.org/wiki/Carnegie_Classification_of_Institutions_of_Higher_Education" TargetMode="External"/><Relationship Id="rId418" Type="http://schemas.openxmlformats.org/officeDocument/2006/relationships/hyperlink" Target="http://www.csj.edu/search/retention+rate" TargetMode="External"/><Relationship Id="rId625" Type="http://schemas.openxmlformats.org/officeDocument/2006/relationships/hyperlink" Target="https://en.wikipedia.org/wiki/Summerdale,_Pennsylvania" TargetMode="External"/><Relationship Id="rId832" Type="http://schemas.openxmlformats.org/officeDocument/2006/relationships/hyperlink" Target="https://en.wikipedia.org/wiki/Notre_Dame_of_Maryland_University" TargetMode="External"/><Relationship Id="rId222" Type="http://schemas.openxmlformats.org/officeDocument/2006/relationships/hyperlink" Target="http://en.wikipedia.org/wiki/Williamstown,_Massachusetts" TargetMode="External"/><Relationship Id="rId264" Type="http://schemas.openxmlformats.org/officeDocument/2006/relationships/hyperlink" Target="http://en.wikipedia.org/wiki/Colby_College" TargetMode="External"/><Relationship Id="rId471" Type="http://schemas.openxmlformats.org/officeDocument/2006/relationships/hyperlink" Target="http://en.wikipedia.org/wiki/Le_Moyne_College" TargetMode="External"/><Relationship Id="rId667" Type="http://schemas.openxmlformats.org/officeDocument/2006/relationships/hyperlink" Target="https://en.wikipedia.org/wiki/Lycoming_College" TargetMode="External"/><Relationship Id="rId874" Type="http://schemas.openxmlformats.org/officeDocument/2006/relationships/hyperlink" Target="http://www.fordham.edu/downloads/file/6408/common_data_set_2015-2016" TargetMode="External"/><Relationship Id="rId17" Type="http://schemas.openxmlformats.org/officeDocument/2006/relationships/hyperlink" Target="http://en.wikipedia.org/wiki/Bard_College_at_Simon%27s_Rock" TargetMode="External"/><Relationship Id="rId59" Type="http://schemas.openxmlformats.org/officeDocument/2006/relationships/hyperlink" Target="http://en.wikipedia.org/wiki/Non-profit" TargetMode="External"/><Relationship Id="rId124" Type="http://schemas.openxmlformats.org/officeDocument/2006/relationships/hyperlink" Target="http://en.wikipedia.org/wiki/Carnegie_Classification_of_Institutions_of_Higher_Education" TargetMode="External"/><Relationship Id="rId527" Type="http://schemas.openxmlformats.org/officeDocument/2006/relationships/hyperlink" Target="http://en.wikipedia.org/wiki/State_University_of_New_York_at_Canton" TargetMode="External"/><Relationship Id="rId569" Type="http://schemas.openxmlformats.org/officeDocument/2006/relationships/hyperlink" Target="https://en.wikipedia.org/wiki/Caldwell_University" TargetMode="External"/><Relationship Id="rId734" Type="http://schemas.openxmlformats.org/officeDocument/2006/relationships/hyperlink" Target="https://en.wikipedia.org/wiki/Philadelphia" TargetMode="External"/><Relationship Id="rId776" Type="http://schemas.openxmlformats.org/officeDocument/2006/relationships/hyperlink" Target="https://en.wikipedia.org/wiki/Cheltenham_Township,_Montgomery_County,_Pennsylvania" TargetMode="External"/><Relationship Id="rId70" Type="http://schemas.openxmlformats.org/officeDocument/2006/relationships/hyperlink" Target="http://en.wikipedia.org/wiki/Boston" TargetMode="External"/><Relationship Id="rId166" Type="http://schemas.openxmlformats.org/officeDocument/2006/relationships/hyperlink" Target="http://en.wikipedia.org/wiki/Northampton,_Massachusetts" TargetMode="External"/><Relationship Id="rId331" Type="http://schemas.openxmlformats.org/officeDocument/2006/relationships/hyperlink" Target="http://en.wikipedia.org/wiki/For-profit_school" TargetMode="External"/><Relationship Id="rId373" Type="http://schemas.openxmlformats.org/officeDocument/2006/relationships/hyperlink" Target="http://en.wikipedia.org/wiki/Castleton,_Vermont" TargetMode="External"/><Relationship Id="rId429" Type="http://schemas.openxmlformats.org/officeDocument/2006/relationships/hyperlink" Target="http://en.wikipedia.org/wiki/Sophie_Davis_School_of_Biomedical_Education" TargetMode="External"/><Relationship Id="rId580" Type="http://schemas.openxmlformats.org/officeDocument/2006/relationships/hyperlink" Target="https://en.wikipedia.org/wiki/Georgian_Court_University" TargetMode="External"/><Relationship Id="rId636" Type="http://schemas.openxmlformats.org/officeDocument/2006/relationships/hyperlink" Target="https://en.wikipedia.org/wiki/Elizabethtown,_Pennsylvania" TargetMode="External"/><Relationship Id="rId801" Type="http://schemas.openxmlformats.org/officeDocument/2006/relationships/hyperlink" Target="https://en.wikipedia.org/wiki/United_States_Naval_Academy" TargetMode="External"/><Relationship Id="rId1" Type="http://schemas.openxmlformats.org/officeDocument/2006/relationships/hyperlink" Target="http://en.wikipedia.org/wiki/American_International_College" TargetMode="External"/><Relationship Id="rId233" Type="http://schemas.openxmlformats.org/officeDocument/2006/relationships/hyperlink" Target="http://www.bu.edu/oir/gradretention/" TargetMode="External"/><Relationship Id="rId440" Type="http://schemas.openxmlformats.org/officeDocument/2006/relationships/hyperlink" Target="http://en.wikipedia.org/wiki/Berkeley_College" TargetMode="External"/><Relationship Id="rId678" Type="http://schemas.openxmlformats.org/officeDocument/2006/relationships/hyperlink" Target="https://en.wikipedia.org/wiki/Muhlenberg_College" TargetMode="External"/><Relationship Id="rId843" Type="http://schemas.openxmlformats.org/officeDocument/2006/relationships/hyperlink" Target="https://en.wikipedia.org/wiki/Doctoral_university" TargetMode="External"/><Relationship Id="rId885" Type="http://schemas.openxmlformats.org/officeDocument/2006/relationships/hyperlink" Target="http://www.bates.edu/garnet-gateway/" TargetMode="External"/><Relationship Id="rId28" Type="http://schemas.openxmlformats.org/officeDocument/2006/relationships/hyperlink" Target="http://en.wikipedia.org/wiki/Carnegie_Classification_of_Institutions_of_Higher_Education" TargetMode="External"/><Relationship Id="rId275" Type="http://schemas.openxmlformats.org/officeDocument/2006/relationships/hyperlink" Target="http://en.wikipedia.org/wiki/Waterville,_Maine" TargetMode="External"/><Relationship Id="rId300" Type="http://schemas.openxmlformats.org/officeDocument/2006/relationships/hyperlink" Target="http://en.wikipedia.org/wiki/University_of_Southern_Maine" TargetMode="External"/><Relationship Id="rId482" Type="http://schemas.openxmlformats.org/officeDocument/2006/relationships/hyperlink" Target="http://en.wikipedia.org/wiki/Molloy_College" TargetMode="External"/><Relationship Id="rId538" Type="http://schemas.openxmlformats.org/officeDocument/2006/relationships/hyperlink" Target="http://en.wikipedia.org/wiki/State_University_of_New_York_at_Fredonia" TargetMode="External"/><Relationship Id="rId703" Type="http://schemas.openxmlformats.org/officeDocument/2006/relationships/hyperlink" Target="https://en.wikipedia.org/wiki/Chambersburg,_Pennsylvania" TargetMode="External"/><Relationship Id="rId745" Type="http://schemas.openxmlformats.org/officeDocument/2006/relationships/hyperlink" Target="https://en.wikipedia.org/wiki/Philadelphia" TargetMode="External"/><Relationship Id="rId81" Type="http://schemas.openxmlformats.org/officeDocument/2006/relationships/hyperlink" Target="http://en.wikipedia.org/wiki/Fisher_College" TargetMode="External"/><Relationship Id="rId135" Type="http://schemas.openxmlformats.org/officeDocument/2006/relationships/hyperlink" Target="http://en.wikipedia.org/wiki/Non-profit" TargetMode="External"/><Relationship Id="rId177" Type="http://schemas.openxmlformats.org/officeDocument/2006/relationships/hyperlink" Target="http://en.wikipedia.org/wiki/Suffolk_University" TargetMode="External"/><Relationship Id="rId342" Type="http://schemas.openxmlformats.org/officeDocument/2006/relationships/hyperlink" Target="http://en.wikipedia.org/wiki/Saint_Anselm_College" TargetMode="External"/><Relationship Id="rId384" Type="http://schemas.openxmlformats.org/officeDocument/2006/relationships/hyperlink" Target="http://en.wikipedia.org/wiki/Carnegie_Classification_of_Institutions_of_Higher_Education" TargetMode="External"/><Relationship Id="rId591" Type="http://schemas.openxmlformats.org/officeDocument/2006/relationships/hyperlink" Target="https://en.wikipedia.org/wiki/Stevens_Institute_of_Technology" TargetMode="External"/><Relationship Id="rId605" Type="http://schemas.openxmlformats.org/officeDocument/2006/relationships/hyperlink" Target="https://en.wikipedia.org/wiki/Meadville,_Pennsylvania" TargetMode="External"/><Relationship Id="rId787" Type="http://schemas.openxmlformats.org/officeDocument/2006/relationships/hyperlink" Target="https://en.wikipedia.org/wiki/Bowie_State_University" TargetMode="External"/><Relationship Id="rId812" Type="http://schemas.openxmlformats.org/officeDocument/2006/relationships/hyperlink" Target="https://en.wikipedia.org/wiki/University_of_Maryland_University_College" TargetMode="External"/><Relationship Id="rId202" Type="http://schemas.openxmlformats.org/officeDocument/2006/relationships/hyperlink" Target="http://en.wikipedia.org/wiki/Wellesley,_Massachusetts" TargetMode="External"/><Relationship Id="rId244" Type="http://schemas.openxmlformats.org/officeDocument/2006/relationships/hyperlink" Target="http://en.wikipedia.org/wiki/Newport,_Rhode_Island" TargetMode="External"/><Relationship Id="rId647" Type="http://schemas.openxmlformats.org/officeDocument/2006/relationships/hyperlink" Target="https://en.wikipedia.org/wiki/Grove_City,_Pennsylvania" TargetMode="External"/><Relationship Id="rId689" Type="http://schemas.openxmlformats.org/officeDocument/2006/relationships/hyperlink" Target="https://en.wikipedia.org/wiki/Greensburg,_Pennsylvania" TargetMode="External"/><Relationship Id="rId854" Type="http://schemas.openxmlformats.org/officeDocument/2006/relationships/hyperlink" Target="https://en.wikipedia.org/wiki/University_of_the_District_of_Columbia" TargetMode="External"/><Relationship Id="rId39" Type="http://schemas.openxmlformats.org/officeDocument/2006/relationships/hyperlink" Target="http://en.wikipedia.org/wiki/Non-profit" TargetMode="External"/><Relationship Id="rId286" Type="http://schemas.openxmlformats.org/officeDocument/2006/relationships/hyperlink" Target="http://en.wikipedia.org/wiki/University_of_Maine_at_Farmington" TargetMode="External"/><Relationship Id="rId451" Type="http://schemas.openxmlformats.org/officeDocument/2006/relationships/hyperlink" Target="http://en.wikipedia.org/wiki/Cornell_University" TargetMode="External"/><Relationship Id="rId493" Type="http://schemas.openxmlformats.org/officeDocument/2006/relationships/hyperlink" Target="http://en.wikipedia.org/wiki/Sarah_Lawrence_College" TargetMode="External"/><Relationship Id="rId507" Type="http://schemas.openxmlformats.org/officeDocument/2006/relationships/hyperlink" Target="http://en.wikipedia.org/wiki/Utica_College" TargetMode="External"/><Relationship Id="rId549" Type="http://schemas.openxmlformats.org/officeDocument/2006/relationships/hyperlink" Target="https://en.wikipedia.org/wiki/Montclair,_New_Jersey" TargetMode="External"/><Relationship Id="rId714" Type="http://schemas.openxmlformats.org/officeDocument/2006/relationships/hyperlink" Target="https://en.wikipedia.org/wiki/American_Baptist_Churches_USA" TargetMode="External"/><Relationship Id="rId756" Type="http://schemas.openxmlformats.org/officeDocument/2006/relationships/hyperlink" Target="https://en.wikipedia.org/wiki/East_Stroudsburg_University_of_Pennsylvania" TargetMode="External"/><Relationship Id="rId50" Type="http://schemas.openxmlformats.org/officeDocument/2006/relationships/hyperlink" Target="http://en.wikipedia.org/wiki/Cambridge,_Massachusetts" TargetMode="External"/><Relationship Id="rId104" Type="http://schemas.openxmlformats.org/officeDocument/2006/relationships/hyperlink" Target="http://en.wikipedia.org/wiki/Research_university" TargetMode="External"/><Relationship Id="rId146" Type="http://schemas.openxmlformats.org/officeDocument/2006/relationships/hyperlink" Target="http://en.wikipedia.org/wiki/Boston" TargetMode="External"/><Relationship Id="rId188" Type="http://schemas.openxmlformats.org/officeDocument/2006/relationships/hyperlink" Target="http://en.wikipedia.org/wiki/Research_university" TargetMode="External"/><Relationship Id="rId311" Type="http://schemas.openxmlformats.org/officeDocument/2006/relationships/hyperlink" Target="http://en.wikipedia.org/wiki/New_London,_New_Hampshire" TargetMode="External"/><Relationship Id="rId353" Type="http://schemas.openxmlformats.org/officeDocument/2006/relationships/hyperlink" Target="http://en.wikipedia.org/wiki/Thomas_More_College_of_Liberal_Arts" TargetMode="External"/><Relationship Id="rId395" Type="http://schemas.openxmlformats.org/officeDocument/2006/relationships/hyperlink" Target="http://en.wikipedia.org/wiki/Marlboro_College" TargetMode="External"/><Relationship Id="rId409" Type="http://schemas.openxmlformats.org/officeDocument/2006/relationships/hyperlink" Target="http://en.wikipedia.org/wiki/Southern_Vermont_College" TargetMode="External"/><Relationship Id="rId560" Type="http://schemas.openxmlformats.org/officeDocument/2006/relationships/hyperlink" Target="https://en.wikipedia.org/wiki/The_College_of_New_Jersey" TargetMode="External"/><Relationship Id="rId798" Type="http://schemas.openxmlformats.org/officeDocument/2006/relationships/hyperlink" Target="https://en.wikipedia.org/wiki/St._Mary%27s_City,_Maryland" TargetMode="External"/><Relationship Id="rId92" Type="http://schemas.openxmlformats.org/officeDocument/2006/relationships/hyperlink" Target="http://en.wikipedia.org/wiki/Carnegie_Classification_of_Institutions_of_Higher_Education" TargetMode="External"/><Relationship Id="rId213" Type="http://schemas.openxmlformats.org/officeDocument/2006/relationships/hyperlink" Target="http://en.wikipedia.org/wiki/Wheaton_College_%28Massachusetts%29" TargetMode="External"/><Relationship Id="rId420" Type="http://schemas.openxmlformats.org/officeDocument/2006/relationships/hyperlink" Target="http://en.wikipedia.org/wiki/Baruch_College" TargetMode="External"/><Relationship Id="rId616" Type="http://schemas.openxmlformats.org/officeDocument/2006/relationships/hyperlink" Target="https://en.wikipedia.org/wiki/Cairn_University" TargetMode="External"/><Relationship Id="rId658" Type="http://schemas.openxmlformats.org/officeDocument/2006/relationships/hyperlink" Target="https://en.wikipedia.org/wiki/La_Plume_Township,_Lackawanna_County,_Pennsylvania" TargetMode="External"/><Relationship Id="rId823" Type="http://schemas.openxmlformats.org/officeDocument/2006/relationships/hyperlink" Target="https://en.wikipedia.org/wiki/Baltimore,_Maryland" TargetMode="External"/><Relationship Id="rId865" Type="http://schemas.openxmlformats.org/officeDocument/2006/relationships/hyperlink" Target="http://www.quinnipiac.edu/prebuilt/pdf/academics/6YearGraduationRate_0312.pdf" TargetMode="External"/><Relationship Id="rId255" Type="http://schemas.openxmlformats.org/officeDocument/2006/relationships/hyperlink" Target="http://en.wikipedia.org/wiki/Bristol,_Rhode_Island" TargetMode="External"/><Relationship Id="rId297" Type="http://schemas.openxmlformats.org/officeDocument/2006/relationships/hyperlink" Target="http://en.wikipedia.org/wiki/Liberal_arts_colleges_in_the_United_States" TargetMode="External"/><Relationship Id="rId462" Type="http://schemas.openxmlformats.org/officeDocument/2006/relationships/hyperlink" Target="http://en.wikipedia.org/wiki/Hilbert_College" TargetMode="External"/><Relationship Id="rId518" Type="http://schemas.openxmlformats.org/officeDocument/2006/relationships/hyperlink" Target="http://en.wikipedia.org/wiki/Statutory_college" TargetMode="External"/><Relationship Id="rId725" Type="http://schemas.openxmlformats.org/officeDocument/2006/relationships/hyperlink" Target="https://en.wikipedia.org/wiki/Marywood_University" TargetMode="External"/><Relationship Id="rId115" Type="http://schemas.openxmlformats.org/officeDocument/2006/relationships/hyperlink" Target="http://en.wikipedia.org/wiki/Public_university" TargetMode="External"/><Relationship Id="rId157" Type="http://schemas.openxmlformats.org/officeDocument/2006/relationships/hyperlink" Target="http://en.wikipedia.org/wiki/Salem_State_University" TargetMode="External"/><Relationship Id="rId322" Type="http://schemas.openxmlformats.org/officeDocument/2006/relationships/hyperlink" Target="http://en.wikipedia.org/wiki/Carnegie_Classification_of_Institutions_of_Higher_Education" TargetMode="External"/><Relationship Id="rId364" Type="http://schemas.openxmlformats.org/officeDocument/2006/relationships/hyperlink" Target="http://www.wesleyan.edu/ir/graduation-retention.html" TargetMode="External"/><Relationship Id="rId767" Type="http://schemas.openxmlformats.org/officeDocument/2006/relationships/hyperlink" Target="https://en.wikipedia.org/wiki/State_College,_Pennsylvania" TargetMode="External"/><Relationship Id="rId61" Type="http://schemas.openxmlformats.org/officeDocument/2006/relationships/hyperlink" Target="http://en.wikipedia.org/wiki/Eastern_Nazarene_College" TargetMode="External"/><Relationship Id="rId199" Type="http://schemas.openxmlformats.org/officeDocument/2006/relationships/hyperlink" Target="http://en.wikipedia.org/wiki/Public_university" TargetMode="External"/><Relationship Id="rId571" Type="http://schemas.openxmlformats.org/officeDocument/2006/relationships/hyperlink" Target="https://en.wikipedia.org/wiki/List_of_colleges_and_universities_in_New_Jersey" TargetMode="External"/><Relationship Id="rId627" Type="http://schemas.openxmlformats.org/officeDocument/2006/relationships/hyperlink" Target="https://en.wikipedia.org/wiki/Chatham_University" TargetMode="External"/><Relationship Id="rId669" Type="http://schemas.openxmlformats.org/officeDocument/2006/relationships/hyperlink" Target="https://en.wikipedia.org/wiki/Mercyhurst_University" TargetMode="External"/><Relationship Id="rId834" Type="http://schemas.openxmlformats.org/officeDocument/2006/relationships/hyperlink" Target="https://en.wikipedia.org/wiki/St._John%27s_College_%28Annapolis/Santa_Fe%29" TargetMode="External"/><Relationship Id="rId876" Type="http://schemas.openxmlformats.org/officeDocument/2006/relationships/hyperlink" Target="http://en.wikipedia.org/wiki/Polytechnic_Institute_of_New_York_University" TargetMode="External"/><Relationship Id="rId19" Type="http://schemas.openxmlformats.org/officeDocument/2006/relationships/hyperlink" Target="http://en.wikipedia.org/wiki/Non-profit" TargetMode="External"/><Relationship Id="rId224" Type="http://schemas.openxmlformats.org/officeDocument/2006/relationships/hyperlink" Target="http://en.wikipedia.org/wiki/Carnegie_Classification_of_Institutions_of_Higher_Education" TargetMode="External"/><Relationship Id="rId266" Type="http://schemas.openxmlformats.org/officeDocument/2006/relationships/hyperlink" Target="http://en.wikipedia.org/wiki/Liberal_arts_colleges_in_the_United_States" TargetMode="External"/><Relationship Id="rId431" Type="http://schemas.openxmlformats.org/officeDocument/2006/relationships/hyperlink" Target="http://en.wikipedia.org/wiki/York_College,_City_University_of_New_York" TargetMode="External"/><Relationship Id="rId473" Type="http://schemas.openxmlformats.org/officeDocument/2006/relationships/hyperlink" Target="http://en.wikipedia.org/wiki/Long_Island_University" TargetMode="External"/><Relationship Id="rId529" Type="http://schemas.openxmlformats.org/officeDocument/2006/relationships/hyperlink" Target="http://en.wikipedia.org/wiki/State_University_of_New_York_at_Delhi" TargetMode="External"/><Relationship Id="rId680" Type="http://schemas.openxmlformats.org/officeDocument/2006/relationships/hyperlink" Target="https://en.wikipedia.org/wiki/Peirce_College" TargetMode="External"/><Relationship Id="rId736" Type="http://schemas.openxmlformats.org/officeDocument/2006/relationships/hyperlink" Target="https://en.wikipedia.org/wiki/Moon_Township,_Allegheny_County,_Pennsylvania" TargetMode="External"/><Relationship Id="rId30" Type="http://schemas.openxmlformats.org/officeDocument/2006/relationships/hyperlink" Target="http://en.wikipedia.org/wiki/Waltham,_Massachusetts" TargetMode="External"/><Relationship Id="rId126" Type="http://schemas.openxmlformats.org/officeDocument/2006/relationships/hyperlink" Target="http://en.wikipedia.org/wiki/North_Andover,_Massachusetts" TargetMode="External"/><Relationship Id="rId168" Type="http://schemas.openxmlformats.org/officeDocument/2006/relationships/hyperlink" Target="http://en.wikipedia.org/wiki/Carnegie_Classification_of_Institutions_of_Higher_Education" TargetMode="External"/><Relationship Id="rId333" Type="http://schemas.openxmlformats.org/officeDocument/2006/relationships/hyperlink" Target="http://en.wikipedia.org/wiki/New_England_College" TargetMode="External"/><Relationship Id="rId540" Type="http://schemas.openxmlformats.org/officeDocument/2006/relationships/hyperlink" Target="http://en.wikipedia.org/wiki/State_University_of_New_York_at_New_Paltz" TargetMode="External"/><Relationship Id="rId778" Type="http://schemas.openxmlformats.org/officeDocument/2006/relationships/hyperlink" Target="https://en.wikipedia.org/wiki/Lower_Merion_Township,_Montgomery_County,_Pennsylvania" TargetMode="External"/><Relationship Id="rId72" Type="http://schemas.openxmlformats.org/officeDocument/2006/relationships/hyperlink" Target="http://en.wikipedia.org/wiki/Carnegie_Classification_of_Institutions_of_Higher_Education" TargetMode="External"/><Relationship Id="rId375" Type="http://schemas.openxmlformats.org/officeDocument/2006/relationships/hyperlink" Target="http://en.wikipedia.org/wiki/Champlain_College" TargetMode="External"/><Relationship Id="rId582" Type="http://schemas.openxmlformats.org/officeDocument/2006/relationships/hyperlink" Target="https://en.wikipedia.org/wiki/Monmouth_University" TargetMode="External"/><Relationship Id="rId638" Type="http://schemas.openxmlformats.org/officeDocument/2006/relationships/hyperlink" Target="https://en.wikipedia.org/wiki/Franklin_%26_Marshall_College" TargetMode="External"/><Relationship Id="rId803" Type="http://schemas.openxmlformats.org/officeDocument/2006/relationships/hyperlink" Target="https://en.wikipedia.org/wiki/University_of_Baltimore" TargetMode="External"/><Relationship Id="rId845" Type="http://schemas.openxmlformats.org/officeDocument/2006/relationships/hyperlink" Target="https://en.wikipedia.org/wiki/Doctoral_university" TargetMode="External"/><Relationship Id="rId3" Type="http://schemas.openxmlformats.org/officeDocument/2006/relationships/hyperlink" Target="http://en.wikipedia.org/wiki/Non-profit" TargetMode="External"/><Relationship Id="rId235" Type="http://schemas.openxmlformats.org/officeDocument/2006/relationships/hyperlink" Target="http://en.wikipedia.org/wiki/Providence,_Rhode_Island" TargetMode="External"/><Relationship Id="rId277" Type="http://schemas.openxmlformats.org/officeDocument/2006/relationships/hyperlink" Target="http://en.wikipedia.org/wiki/Unity_College_%28Maine%29" TargetMode="External"/><Relationship Id="rId400" Type="http://schemas.openxmlformats.org/officeDocument/2006/relationships/hyperlink" Target="http://en.wikipedia.org/wiki/Middlebury,_Vermont" TargetMode="External"/><Relationship Id="rId442" Type="http://schemas.openxmlformats.org/officeDocument/2006/relationships/hyperlink" Target="http://en.wikipedia.org/wiki/Cazenovia_College" TargetMode="External"/><Relationship Id="rId484" Type="http://schemas.openxmlformats.org/officeDocument/2006/relationships/hyperlink" Target="http://en.wikipedia.org/wiki/Nazareth_College_%28New_York%29" TargetMode="External"/><Relationship Id="rId705" Type="http://schemas.openxmlformats.org/officeDocument/2006/relationships/hyperlink" Target="https://en.wikipedia.org/wiki/York_College_of_Pennsylvania" TargetMode="External"/><Relationship Id="rId887" Type="http://schemas.openxmlformats.org/officeDocument/2006/relationships/hyperlink" Target="http://www2.mcdaniel.edu/Bus_Econ/clayco/4daymcd/ivy/FourDayWeeksintheIvyLeague.pdf" TargetMode="External"/><Relationship Id="rId137" Type="http://schemas.openxmlformats.org/officeDocument/2006/relationships/hyperlink" Target="http://en.wikipedia.org/wiki/Mount_Ida_College" TargetMode="External"/><Relationship Id="rId302" Type="http://schemas.openxmlformats.org/officeDocument/2006/relationships/hyperlink" Target="http://en.wikipedia.org/wiki/Lewiston,_Maine" TargetMode="External"/><Relationship Id="rId344" Type="http://schemas.openxmlformats.org/officeDocument/2006/relationships/hyperlink" Target="http://en.wikipedia.org/wiki/Roman_Catholic_Church" TargetMode="External"/><Relationship Id="rId691" Type="http://schemas.openxmlformats.org/officeDocument/2006/relationships/hyperlink" Target="https://en.wikipedia.org/wiki/Selinsgrove,_Pennsylvania" TargetMode="External"/><Relationship Id="rId747" Type="http://schemas.openxmlformats.org/officeDocument/2006/relationships/hyperlink" Target="https://en.wikipedia.org/wiki/Radnor_Township,_Delaware_County,_Pennsylvania" TargetMode="External"/><Relationship Id="rId789" Type="http://schemas.openxmlformats.org/officeDocument/2006/relationships/hyperlink" Target="https://en.wikipedia.org/wiki/Coppin_State_University" TargetMode="External"/><Relationship Id="rId41" Type="http://schemas.openxmlformats.org/officeDocument/2006/relationships/hyperlink" Target="http://en.wikipedia.org/wiki/Brandeis_University" TargetMode="External"/><Relationship Id="rId83" Type="http://schemas.openxmlformats.org/officeDocument/2006/relationships/hyperlink" Target="http://en.wikipedia.org/wiki/Non-profit" TargetMode="External"/><Relationship Id="rId179" Type="http://schemas.openxmlformats.org/officeDocument/2006/relationships/hyperlink" Target="http://en.wikipedia.org/wiki/Non-profit" TargetMode="External"/><Relationship Id="rId386" Type="http://schemas.openxmlformats.org/officeDocument/2006/relationships/hyperlink" Target="http://en.wikipedia.org/wiki/Poultney,_Vermont" TargetMode="External"/><Relationship Id="rId551" Type="http://schemas.openxmlformats.org/officeDocument/2006/relationships/hyperlink" Target="https://en.wikipedia.org/wiki/Jersey_City" TargetMode="External"/><Relationship Id="rId593" Type="http://schemas.openxmlformats.org/officeDocument/2006/relationships/hyperlink" Target="http://www.montclair.edu/about-montclair/at-a-glance/undergraduate-student-facts/" TargetMode="External"/><Relationship Id="rId607" Type="http://schemas.openxmlformats.org/officeDocument/2006/relationships/hyperlink" Target="https://en.wikipedia.org/wiki/Haverford_Township,_Delaware_County,_Pennsylvania" TargetMode="External"/><Relationship Id="rId649" Type="http://schemas.openxmlformats.org/officeDocument/2006/relationships/hyperlink" Target="https://en.wikipedia.org/wiki/Gwynedd_Mercy_University" TargetMode="External"/><Relationship Id="rId814" Type="http://schemas.openxmlformats.org/officeDocument/2006/relationships/hyperlink" Target="https://en.wikipedia.org/wiki/Capitol_Technology_University" TargetMode="External"/><Relationship Id="rId856" Type="http://schemas.openxmlformats.org/officeDocument/2006/relationships/hyperlink" Target="https://www.amherst.edu/system/files/CDS1314_B_Enrollment_Persistence_2.pdf" TargetMode="External"/><Relationship Id="rId190" Type="http://schemas.openxmlformats.org/officeDocument/2006/relationships/hyperlink" Target="http://en.wikipedia.org/wiki/Boston" TargetMode="External"/><Relationship Id="rId204" Type="http://schemas.openxmlformats.org/officeDocument/2006/relationships/hyperlink" Target="http://en.wikipedia.org/wiki/Carnegie_Classification_of_Institutions_of_Higher_Education" TargetMode="External"/><Relationship Id="rId246" Type="http://schemas.openxmlformats.org/officeDocument/2006/relationships/hyperlink" Target="http://en.wikipedia.org/wiki/Carnegie_Classification_of_Institutions_of_Higher_Education" TargetMode="External"/><Relationship Id="rId288" Type="http://schemas.openxmlformats.org/officeDocument/2006/relationships/hyperlink" Target="http://en.wikipedia.org/wiki/Carnegie_Classification_of_Institutions_of_Higher_Education" TargetMode="External"/><Relationship Id="rId411" Type="http://schemas.openxmlformats.org/officeDocument/2006/relationships/hyperlink" Target="http://en.wikipedia.org/wiki/Carnegie_Classification_of_Institutions_of_Higher_Education" TargetMode="External"/><Relationship Id="rId453" Type="http://schemas.openxmlformats.org/officeDocument/2006/relationships/hyperlink" Target="http://en.wikipedia.org/wiki/Daemen_College" TargetMode="External"/><Relationship Id="rId509" Type="http://schemas.openxmlformats.org/officeDocument/2006/relationships/hyperlink" Target="http://en.wikipedia.org/wiki/Vaughn_College_of_Aeronautics_and_Technology" TargetMode="External"/><Relationship Id="rId660" Type="http://schemas.openxmlformats.org/officeDocument/2006/relationships/hyperlink" Target="https://en.wikipedia.org/wiki/Wilkes-Barre,_Pennsylvania" TargetMode="External"/><Relationship Id="rId106" Type="http://schemas.openxmlformats.org/officeDocument/2006/relationships/hyperlink" Target="http://en.wikipedia.org/wiki/Newton,_Massachusetts" TargetMode="External"/><Relationship Id="rId313" Type="http://schemas.openxmlformats.org/officeDocument/2006/relationships/hyperlink" Target="http://en.wikipedia.org/wiki/Daniel_Webster_College" TargetMode="External"/><Relationship Id="rId495" Type="http://schemas.openxmlformats.org/officeDocument/2006/relationships/hyperlink" Target="http://en.wikipedia.org/wiki/Skidmore_College" TargetMode="External"/><Relationship Id="rId716" Type="http://schemas.openxmlformats.org/officeDocument/2006/relationships/hyperlink" Target="https://en.wikipedia.org/wiki/Erie,_Pennsylvania" TargetMode="External"/><Relationship Id="rId758" Type="http://schemas.openxmlformats.org/officeDocument/2006/relationships/hyperlink" Target="https://en.wikipedia.org/wiki/Indiana_University_of_Pennsylvania" TargetMode="External"/><Relationship Id="rId10" Type="http://schemas.openxmlformats.org/officeDocument/2006/relationships/hyperlink" Target="http://en.wikipedia.org/wiki/Paxton,_Massachusetts" TargetMode="External"/><Relationship Id="rId52" Type="http://schemas.openxmlformats.org/officeDocument/2006/relationships/hyperlink" Target="http://en.wikipedia.org/wiki/Carnegie_Classification_of_Institutions_of_Higher_Education" TargetMode="External"/><Relationship Id="rId94" Type="http://schemas.openxmlformats.org/officeDocument/2006/relationships/hyperlink" Target="http://en.wikipedia.org/wiki/Wenham,_Massachusetts" TargetMode="External"/><Relationship Id="rId148" Type="http://schemas.openxmlformats.org/officeDocument/2006/relationships/hyperlink" Target="http://en.wikipedia.org/wiki/Research_university" TargetMode="External"/><Relationship Id="rId355" Type="http://schemas.openxmlformats.org/officeDocument/2006/relationships/hyperlink" Target="http://en.wikipedia.org/wiki/Roman_Catholic_Church" TargetMode="External"/><Relationship Id="rId397" Type="http://schemas.openxmlformats.org/officeDocument/2006/relationships/hyperlink" Target="http://en.wikipedia.org/wiki/Carnegie_Classification_of_Institutions_of_Higher_Education" TargetMode="External"/><Relationship Id="rId520" Type="http://schemas.openxmlformats.org/officeDocument/2006/relationships/hyperlink" Target="http://en.wikipedia.org/wiki/New_York_State_College_of_Ceramics" TargetMode="External"/><Relationship Id="rId562" Type="http://schemas.openxmlformats.org/officeDocument/2006/relationships/hyperlink" Target="https://en.wikipedia.org/wiki/Thomas_Edison_State_College" TargetMode="External"/><Relationship Id="rId618" Type="http://schemas.openxmlformats.org/officeDocument/2006/relationships/hyperlink" Target="https://en.wikipedia.org/wiki/Nondenominational_Christian" TargetMode="External"/><Relationship Id="rId825" Type="http://schemas.openxmlformats.org/officeDocument/2006/relationships/hyperlink" Target="https://en.wikipedia.org/wiki/Baltimore,_Maryland" TargetMode="External"/><Relationship Id="rId215" Type="http://schemas.openxmlformats.org/officeDocument/2006/relationships/hyperlink" Target="http://en.wikipedia.org/wiki/Non-profit" TargetMode="External"/><Relationship Id="rId257" Type="http://schemas.openxmlformats.org/officeDocument/2006/relationships/hyperlink" Target="http://en.wikipedia.org/wiki/Salve_Regina_University" TargetMode="External"/><Relationship Id="rId422" Type="http://schemas.openxmlformats.org/officeDocument/2006/relationships/hyperlink" Target="http://en.wikipedia.org/wiki/City_College_of_New_York" TargetMode="External"/><Relationship Id="rId464" Type="http://schemas.openxmlformats.org/officeDocument/2006/relationships/hyperlink" Target="http://en.wikipedia.org/wiki/Hofstra_University" TargetMode="External"/><Relationship Id="rId867" Type="http://schemas.openxmlformats.org/officeDocument/2006/relationships/hyperlink" Target="http://www.trincoll.edu/AboutTrinity/offices/InstitutionalResearchPlanning/Documents/CDS2012-2013.pdf" TargetMode="External"/><Relationship Id="rId299" Type="http://schemas.openxmlformats.org/officeDocument/2006/relationships/hyperlink" Target="http://en.wikipedia.org/wiki/Carnegie_Classification_of_Institutions_of_Higher_Education" TargetMode="External"/><Relationship Id="rId727" Type="http://schemas.openxmlformats.org/officeDocument/2006/relationships/hyperlink" Target="https://en.wikipedia.org/wiki/Misericordia_University" TargetMode="External"/><Relationship Id="rId63" Type="http://schemas.openxmlformats.org/officeDocument/2006/relationships/hyperlink" Target="http://en.wikipedia.org/wiki/Non-profit" TargetMode="External"/><Relationship Id="rId159" Type="http://schemas.openxmlformats.org/officeDocument/2006/relationships/hyperlink" Target="http://en.wikipedia.org/wiki/Public_university" TargetMode="External"/><Relationship Id="rId366" Type="http://schemas.openxmlformats.org/officeDocument/2006/relationships/hyperlink" Target="http://en.wikipedia.org/wiki/Bennington_College" TargetMode="External"/><Relationship Id="rId573" Type="http://schemas.openxmlformats.org/officeDocument/2006/relationships/hyperlink" Target="https://en.wikipedia.org/wiki/Hackettstown,_New_Jersey" TargetMode="External"/><Relationship Id="rId780" Type="http://schemas.openxmlformats.org/officeDocument/2006/relationships/hyperlink" Target="https://en.wikipedia.org/wiki/Pittsburgh" TargetMode="External"/><Relationship Id="rId226" Type="http://schemas.openxmlformats.org/officeDocument/2006/relationships/hyperlink" Target="http://en.wikipedia.org/wiki/Worcester,_Massachusetts" TargetMode="External"/><Relationship Id="rId433" Type="http://schemas.openxmlformats.org/officeDocument/2006/relationships/hyperlink" Target="http://en.wikipedia.org/wiki/United_States_Merchant_Marine_Academy" TargetMode="External"/><Relationship Id="rId878" Type="http://schemas.openxmlformats.org/officeDocument/2006/relationships/hyperlink" Target="http://nces.ed.gov/collegenavigator/?q=Stevens+Institute+of+Technology&amp;s=all&amp;id=186867" TargetMode="External"/><Relationship Id="rId640" Type="http://schemas.openxmlformats.org/officeDocument/2006/relationships/hyperlink" Target="https://en.wikipedia.org/wiki/Geneva_College" TargetMode="External"/><Relationship Id="rId738" Type="http://schemas.openxmlformats.org/officeDocument/2006/relationships/hyperlink" Target="https://en.wikipedia.org/wiki/Loretto,_Pennsylvania" TargetMode="External"/><Relationship Id="rId74" Type="http://schemas.openxmlformats.org/officeDocument/2006/relationships/hyperlink" Target="http://en.wikipedia.org/wiki/Boston" TargetMode="External"/><Relationship Id="rId377" Type="http://schemas.openxmlformats.org/officeDocument/2006/relationships/hyperlink" Target="http://en.wikipedia.org/wiki/Carnegie_Classification_of_Institutions_of_Higher_Education" TargetMode="External"/><Relationship Id="rId500" Type="http://schemas.openxmlformats.org/officeDocument/2006/relationships/hyperlink" Target="http://en.wikipedia.org/wiki/Saint_Joseph%27s_College_%28New_York%29" TargetMode="External"/><Relationship Id="rId584" Type="http://schemas.openxmlformats.org/officeDocument/2006/relationships/hyperlink" Target="https://en.wikipedia.org/wiki/Princeton_University" TargetMode="External"/><Relationship Id="rId805" Type="http://schemas.openxmlformats.org/officeDocument/2006/relationships/hyperlink" Target="https://en.wikipedia.org/wiki/University_of_Maryland,_Baltimore" TargetMode="External"/><Relationship Id="rId5" Type="http://schemas.openxmlformats.org/officeDocument/2006/relationships/hyperlink" Target="http://en.wikipedia.org/wiki/Amherst_College" TargetMode="External"/><Relationship Id="rId237" Type="http://schemas.openxmlformats.org/officeDocument/2006/relationships/hyperlink" Target="http://en.wikipedia.org/wiki/Bryant_University" TargetMode="External"/><Relationship Id="rId791" Type="http://schemas.openxmlformats.org/officeDocument/2006/relationships/hyperlink" Target="https://en.wikipedia.org/wiki/Frostburg_State_University" TargetMode="External"/><Relationship Id="rId444" Type="http://schemas.openxmlformats.org/officeDocument/2006/relationships/hyperlink" Target="http://en.wikipedia.org/wiki/Colgate_University" TargetMode="External"/><Relationship Id="rId651" Type="http://schemas.openxmlformats.org/officeDocument/2006/relationships/hyperlink" Target="https://en.wikipedia.org/wiki/Harrisburg_University_of_Science_and_Technology" TargetMode="External"/><Relationship Id="rId749" Type="http://schemas.openxmlformats.org/officeDocument/2006/relationships/hyperlink" Target="https://en.wikipedia.org/wiki/Waynesburg,_Pennsylvania" TargetMode="External"/><Relationship Id="rId290" Type="http://schemas.openxmlformats.org/officeDocument/2006/relationships/hyperlink" Target="http://en.wikipedia.org/wiki/Fort_Kent,_Maine" TargetMode="External"/><Relationship Id="rId304" Type="http://schemas.openxmlformats.org/officeDocument/2006/relationships/hyperlink" Target="https://www.colby.edu/administration_cs/ir/factbook2006/upload/graduationrates.pdf" TargetMode="External"/><Relationship Id="rId388" Type="http://schemas.openxmlformats.org/officeDocument/2006/relationships/hyperlink" Target="http://en.wikipedia.org/wiki/Carnegie_Classification_of_Institutions_of_Higher_Education" TargetMode="External"/><Relationship Id="rId511" Type="http://schemas.openxmlformats.org/officeDocument/2006/relationships/hyperlink" Target="http://en.wikipedia.org/wiki/Wagner_College" TargetMode="External"/><Relationship Id="rId609" Type="http://schemas.openxmlformats.org/officeDocument/2006/relationships/hyperlink" Target="https://en.wikipedia.org/wiki/Bryn_Athyn,_Pennsylvania" TargetMode="External"/><Relationship Id="rId85" Type="http://schemas.openxmlformats.org/officeDocument/2006/relationships/hyperlink" Target="http://en.wikipedia.org/wiki/Fitchburg_State_University" TargetMode="External"/><Relationship Id="rId150" Type="http://schemas.openxmlformats.org/officeDocument/2006/relationships/hyperlink" Target="http://en.wikipedia.org/wiki/Chestnut_Hill,_Massachusetts" TargetMode="External"/><Relationship Id="rId595" Type="http://schemas.openxmlformats.org/officeDocument/2006/relationships/hyperlink" Target="https://en.wikipedia.org/wiki/List_of_colleges_and_universities_in_New_Jersey" TargetMode="External"/><Relationship Id="rId816" Type="http://schemas.openxmlformats.org/officeDocument/2006/relationships/hyperlink" Target="https://en.wikipedia.org/wiki/Goucher_College" TargetMode="External"/><Relationship Id="rId248" Type="http://schemas.openxmlformats.org/officeDocument/2006/relationships/hyperlink" Target="http://en.wikipedia.org/wiki/Providence,_Rhode_Island" TargetMode="External"/><Relationship Id="rId455" Type="http://schemas.openxmlformats.org/officeDocument/2006/relationships/hyperlink" Target="http://en.wikipedia.org/wiki/Dominican_College_%28New_York%29" TargetMode="External"/><Relationship Id="rId662" Type="http://schemas.openxmlformats.org/officeDocument/2006/relationships/hyperlink" Target="https://en.wikipedia.org/wiki/McCandless_Township,_Allegheny_County,_Pennsylvania" TargetMode="External"/><Relationship Id="rId12" Type="http://schemas.openxmlformats.org/officeDocument/2006/relationships/hyperlink" Target="http://en.wikipedia.org/wiki/Carnegie_Classification_of_Institutions_of_Higher_Education" TargetMode="External"/><Relationship Id="rId108" Type="http://schemas.openxmlformats.org/officeDocument/2006/relationships/hyperlink" Target="http://en.wikipedia.org/wiki/Carnegie_Classification_of_Institutions_of_Higher_Education" TargetMode="External"/><Relationship Id="rId315" Type="http://schemas.openxmlformats.org/officeDocument/2006/relationships/hyperlink" Target="http://en.wikipedia.org/wiki/For-profit_school" TargetMode="External"/><Relationship Id="rId522" Type="http://schemas.openxmlformats.org/officeDocument/2006/relationships/hyperlink" Target="http://en.wikipedia.org/wiki/Cornell_University_College_of_Agriculture_and_Life_Sciences" TargetMode="External"/><Relationship Id="rId96" Type="http://schemas.openxmlformats.org/officeDocument/2006/relationships/hyperlink" Target="http://en.wikipedia.org/wiki/Carnegie_Classification_of_Institutions_of_Higher_Education" TargetMode="External"/><Relationship Id="rId161" Type="http://schemas.openxmlformats.org/officeDocument/2006/relationships/hyperlink" Target="http://en.wikipedia.org/wiki/Simmons_College_%28Massachusetts%29" TargetMode="External"/><Relationship Id="rId399" Type="http://schemas.openxmlformats.org/officeDocument/2006/relationships/hyperlink" Target="http://en.wikipedia.org/wiki/Middlebury_College" TargetMode="External"/><Relationship Id="rId827" Type="http://schemas.openxmlformats.org/officeDocument/2006/relationships/hyperlink" Target="https://en.wikipedia.org/wiki/Laurel,_Maryland" TargetMode="External"/><Relationship Id="rId259" Type="http://schemas.openxmlformats.org/officeDocument/2006/relationships/hyperlink" Target="http://en.wikipedia.org/wiki/Roman_Catholic" TargetMode="External"/><Relationship Id="rId466" Type="http://schemas.openxmlformats.org/officeDocument/2006/relationships/hyperlink" Target="http://en.wikipedia.org/wiki/Iona_College_%28New_York%29" TargetMode="External"/><Relationship Id="rId673" Type="http://schemas.openxmlformats.org/officeDocument/2006/relationships/hyperlink" Target="https://en.wikipedia.org/wiki/Moravian_College" TargetMode="External"/><Relationship Id="rId880" Type="http://schemas.openxmlformats.org/officeDocument/2006/relationships/hyperlink" Target="http://nces.ed.gov/collegenavigator/?q=University+of+Pennsylvania&amp;s=all&amp;id=212115" TargetMode="External"/><Relationship Id="rId23" Type="http://schemas.openxmlformats.org/officeDocument/2006/relationships/hyperlink" Target="http://en.wikipedia.org/wiki/Non-profit" TargetMode="External"/><Relationship Id="rId119" Type="http://schemas.openxmlformats.org/officeDocument/2006/relationships/hyperlink" Target="http://en.wikipedia.org/wiki/Non-profit" TargetMode="External"/><Relationship Id="rId326" Type="http://schemas.openxmlformats.org/officeDocument/2006/relationships/hyperlink" Target="http://en.wikipedia.org/wiki/Keene_State_College" TargetMode="External"/><Relationship Id="rId533" Type="http://schemas.openxmlformats.org/officeDocument/2006/relationships/hyperlink" Target="http://en.wikipedia.org/wiki/State_University_of_New_York_Maritime_College" TargetMode="External"/><Relationship Id="rId740" Type="http://schemas.openxmlformats.org/officeDocument/2006/relationships/hyperlink" Target="https://en.wikipedia.org/wiki/University_of_Scranton" TargetMode="External"/><Relationship Id="rId838" Type="http://schemas.openxmlformats.org/officeDocument/2006/relationships/hyperlink" Target="https://en.wikipedia.org/wiki/Washington_Adventist_University" TargetMode="External"/><Relationship Id="rId172" Type="http://schemas.openxmlformats.org/officeDocument/2006/relationships/hyperlink" Target="http://en.wikipedia.org/wiki/Carnegie_Classification_of_Institutions_of_Higher_Education" TargetMode="External"/><Relationship Id="rId477" Type="http://schemas.openxmlformats.org/officeDocument/2006/relationships/hyperlink" Target="http://en.wikipedia.org/wiki/Marist_College" TargetMode="External"/><Relationship Id="rId600" Type="http://schemas.openxmlformats.org/officeDocument/2006/relationships/hyperlink" Target="http://www.montclair.edu/about-montclair/at-a-glance/undergraduate-student-facts/" TargetMode="External"/><Relationship Id="rId684" Type="http://schemas.openxmlformats.org/officeDocument/2006/relationships/hyperlink" Target="https://en.wikipedia.org/wiki/Rosemont_College" TargetMode="External"/><Relationship Id="rId337" Type="http://schemas.openxmlformats.org/officeDocument/2006/relationships/hyperlink" Target="http://en.wikipedia.org/wiki/Carnegie_Classification_of_Institutions_of_Higher_Education" TargetMode="External"/><Relationship Id="rId34" Type="http://schemas.openxmlformats.org/officeDocument/2006/relationships/hyperlink" Target="http://en.wikipedia.org/wiki/Chestnut_Hill,_Massachusetts" TargetMode="External"/><Relationship Id="rId544" Type="http://schemas.openxmlformats.org/officeDocument/2006/relationships/hyperlink" Target="http://en.wikipedia.org/wiki/State_University_of_New_York_at_Plattsburgh" TargetMode="External"/><Relationship Id="rId751" Type="http://schemas.openxmlformats.org/officeDocument/2006/relationships/hyperlink" Target="https://en.wikipedia.org/wiki/Chester,_Pennsylvania" TargetMode="External"/><Relationship Id="rId849" Type="http://schemas.openxmlformats.org/officeDocument/2006/relationships/hyperlink" Target="https://en.wikipedia.org/wiki/Doctoral_university" TargetMode="External"/><Relationship Id="rId183" Type="http://schemas.openxmlformats.org/officeDocument/2006/relationships/hyperlink" Target="http://en.wikipedia.org/wiki/Non-profit" TargetMode="External"/><Relationship Id="rId390" Type="http://schemas.openxmlformats.org/officeDocument/2006/relationships/hyperlink" Target="http://en.wikipedia.org/wiki/Johnson,_Vermont" TargetMode="External"/><Relationship Id="rId404" Type="http://schemas.openxmlformats.org/officeDocument/2006/relationships/hyperlink" Target="http://en.wikipedia.org/wiki/Carnegie_Classification_of_Institutions_of_Higher_Education" TargetMode="External"/><Relationship Id="rId611" Type="http://schemas.openxmlformats.org/officeDocument/2006/relationships/hyperlink" Target="https://en.wikipedia.org/wiki/Bucknell_University" TargetMode="External"/><Relationship Id="rId250" Type="http://schemas.openxmlformats.org/officeDocument/2006/relationships/hyperlink" Target="http://en.wikipedia.org/wiki/Carnegie_Classification_of_Institutions_of_Higher_Education" TargetMode="External"/><Relationship Id="rId488" Type="http://schemas.openxmlformats.org/officeDocument/2006/relationships/hyperlink" Target="http://en.wikipedia.org/wiki/Niagara_University" TargetMode="External"/><Relationship Id="rId695" Type="http://schemas.openxmlformats.org/officeDocument/2006/relationships/hyperlink" Target="https://en.wikipedia.org/wiki/Greenville,_Pennsylvania" TargetMode="External"/><Relationship Id="rId709" Type="http://schemas.openxmlformats.org/officeDocument/2006/relationships/hyperlink" Target="https://en.wikipedia.org/wiki/Duquesne_Universi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5"/>
  <sheetViews>
    <sheetView tabSelected="1" topLeftCell="I459" workbookViewId="0">
      <selection activeCell="Y1" sqref="Y1:Z1048576"/>
    </sheetView>
  </sheetViews>
  <sheetFormatPr defaultRowHeight="15" x14ac:dyDescent="0.25"/>
  <cols>
    <col min="7" max="9" width="10.5703125" bestFit="1" customWidth="1"/>
    <col min="16" max="18" width="11.140625" bestFit="1" customWidth="1"/>
    <col min="20" max="20" width="11.140625" bestFit="1" customWidth="1"/>
  </cols>
  <sheetData>
    <row r="1" spans="1:33" ht="49.5" x14ac:dyDescent="0.25">
      <c r="A1" t="s">
        <v>0</v>
      </c>
      <c r="D1" t="s">
        <v>1</v>
      </c>
      <c r="E1" t="s">
        <v>2</v>
      </c>
      <c r="G1" s="1" t="s">
        <v>3</v>
      </c>
      <c r="H1" s="1" t="s">
        <v>4</v>
      </c>
      <c r="I1" s="1" t="s">
        <v>5</v>
      </c>
      <c r="J1" s="2" t="s">
        <v>6</v>
      </c>
      <c r="K1" t="s">
        <v>7</v>
      </c>
      <c r="L1" t="s">
        <v>8</v>
      </c>
      <c r="M1" t="s">
        <v>9</v>
      </c>
      <c r="N1" t="s">
        <v>10</v>
      </c>
      <c r="O1" t="s">
        <v>1280</v>
      </c>
      <c r="P1" t="s">
        <v>1279</v>
      </c>
      <c r="Q1" t="s">
        <v>833</v>
      </c>
      <c r="R1" t="s">
        <v>1276</v>
      </c>
      <c r="T1" t="s">
        <v>1277</v>
      </c>
      <c r="U1" t="s">
        <v>1278</v>
      </c>
      <c r="V1" t="s">
        <v>11</v>
      </c>
      <c r="W1" t="s">
        <v>12</v>
      </c>
      <c r="Y1" t="s">
        <v>13</v>
      </c>
      <c r="Z1" t="s">
        <v>14</v>
      </c>
      <c r="AB1" t="s">
        <v>15</v>
      </c>
      <c r="AG1" t="s">
        <v>16</v>
      </c>
    </row>
    <row r="2" spans="1:33" ht="75" x14ac:dyDescent="0.25">
      <c r="A2" s="3" t="s">
        <v>17</v>
      </c>
      <c r="B2" s="3" t="s">
        <v>18</v>
      </c>
      <c r="C2" s="3" t="s">
        <v>2</v>
      </c>
      <c r="D2" s="3">
        <v>0</v>
      </c>
      <c r="E2" s="4">
        <v>1</v>
      </c>
      <c r="F2" s="3" t="s">
        <v>19</v>
      </c>
      <c r="G2">
        <v>1723</v>
      </c>
      <c r="H2">
        <v>1723</v>
      </c>
      <c r="I2">
        <v>1723</v>
      </c>
      <c r="J2" s="3">
        <v>142</v>
      </c>
      <c r="K2">
        <v>39</v>
      </c>
      <c r="L2" t="s">
        <v>20</v>
      </c>
      <c r="M2" t="s">
        <v>21</v>
      </c>
      <c r="N2">
        <v>68</v>
      </c>
      <c r="O2" s="41">
        <f>435+445</f>
        <v>880</v>
      </c>
      <c r="P2" s="41">
        <f>435+445</f>
        <v>880</v>
      </c>
      <c r="Q2" s="41">
        <f>435+445</f>
        <v>880</v>
      </c>
      <c r="R2" s="41" t="s">
        <v>1124</v>
      </c>
      <c r="S2" t="s">
        <v>953</v>
      </c>
      <c r="V2">
        <v>60</v>
      </c>
      <c r="W2">
        <v>39</v>
      </c>
      <c r="Y2">
        <v>0.28388454522827689</v>
      </c>
      <c r="Z2">
        <v>0.28593580499382482</v>
      </c>
      <c r="AB2">
        <f>H2/[1]Sheet1!$H$97</f>
        <v>0.86326172080791486</v>
      </c>
      <c r="AD2">
        <f>Y2</f>
        <v>0.28388454522827689</v>
      </c>
      <c r="AG2">
        <f t="shared" ref="AG2:AG41" si="0">K2*Z2</f>
        <v>11.151496394759167</v>
      </c>
    </row>
    <row r="3" spans="1:33" ht="45" x14ac:dyDescent="0.25">
      <c r="A3" s="3" t="s">
        <v>22</v>
      </c>
      <c r="B3" s="3" t="s">
        <v>23</v>
      </c>
      <c r="C3" s="3" t="s">
        <v>2</v>
      </c>
      <c r="D3" s="3">
        <v>0</v>
      </c>
      <c r="E3" s="4">
        <v>1</v>
      </c>
      <c r="F3" s="3" t="s">
        <v>24</v>
      </c>
      <c r="G3">
        <v>1785</v>
      </c>
      <c r="H3">
        <v>1785</v>
      </c>
      <c r="I3">
        <v>1785</v>
      </c>
      <c r="J3" s="3">
        <v>146</v>
      </c>
      <c r="K3">
        <v>39</v>
      </c>
      <c r="L3" t="s">
        <v>20</v>
      </c>
      <c r="M3" t="s">
        <v>21</v>
      </c>
      <c r="N3">
        <v>14</v>
      </c>
      <c r="O3">
        <f>720+721</f>
        <v>1441</v>
      </c>
      <c r="P3">
        <f>720+721</f>
        <v>1441</v>
      </c>
      <c r="Q3">
        <f>720+721</f>
        <v>1441</v>
      </c>
      <c r="R3" t="s">
        <v>832</v>
      </c>
      <c r="V3" s="5">
        <v>98</v>
      </c>
      <c r="W3" s="5">
        <v>96</v>
      </c>
      <c r="X3" s="7" t="s">
        <v>25</v>
      </c>
      <c r="Y3">
        <v>0.29409977552668265</v>
      </c>
      <c r="Z3">
        <v>0.29622484730933102</v>
      </c>
      <c r="AB3">
        <f>H3/[1]Sheet1!$H$97</f>
        <v>0.89432511412775861</v>
      </c>
      <c r="AD3">
        <f t="shared" ref="AD3:AD66" si="1">AD2+Y3</f>
        <v>0.57798432075495954</v>
      </c>
      <c r="AG3">
        <f t="shared" si="0"/>
        <v>11.55276904506391</v>
      </c>
    </row>
    <row r="4" spans="1:33" ht="45" x14ac:dyDescent="0.25">
      <c r="A4" s="3" t="s">
        <v>26</v>
      </c>
      <c r="B4" s="3" t="s">
        <v>27</v>
      </c>
      <c r="C4" s="3" t="s">
        <v>2</v>
      </c>
      <c r="D4" s="3">
        <v>1</v>
      </c>
      <c r="E4" s="4">
        <v>1</v>
      </c>
      <c r="F4" s="3" t="s">
        <v>19</v>
      </c>
      <c r="G4">
        <v>1100</v>
      </c>
      <c r="H4" t="s">
        <v>28</v>
      </c>
      <c r="I4">
        <v>1100</v>
      </c>
      <c r="J4" s="3"/>
      <c r="K4">
        <v>39</v>
      </c>
      <c r="L4" t="s">
        <v>29</v>
      </c>
      <c r="M4" t="s">
        <v>21</v>
      </c>
      <c r="N4">
        <v>78</v>
      </c>
      <c r="O4">
        <f>1593-12.418*N4+0.065*N4*N4</f>
        <v>1019.8560000000001</v>
      </c>
      <c r="P4">
        <f>1451-5.739*N4</f>
        <v>1003.3579999999999</v>
      </c>
      <c r="U4">
        <v>-1</v>
      </c>
      <c r="W4">
        <v>47</v>
      </c>
      <c r="Y4" t="s">
        <v>28</v>
      </c>
      <c r="Z4">
        <v>0.18254752495252891</v>
      </c>
      <c r="AB4" t="e">
        <f>H4/[1]Sheet1!$H$97</f>
        <v>#VALUE!</v>
      </c>
      <c r="AD4" t="e">
        <f t="shared" si="1"/>
        <v>#VALUE!</v>
      </c>
      <c r="AG4">
        <f t="shared" si="0"/>
        <v>7.1193534731486272</v>
      </c>
    </row>
    <row r="5" spans="1:33" ht="45" x14ac:dyDescent="0.25">
      <c r="A5" s="3" t="s">
        <v>30</v>
      </c>
      <c r="B5" s="3" t="s">
        <v>31</v>
      </c>
      <c r="C5" s="3" t="s">
        <v>2</v>
      </c>
      <c r="D5" s="3">
        <v>1</v>
      </c>
      <c r="E5" s="4">
        <v>1</v>
      </c>
      <c r="F5" s="3" t="s">
        <v>19</v>
      </c>
      <c r="G5" t="s">
        <v>28</v>
      </c>
      <c r="J5" s="3"/>
      <c r="K5">
        <v>49</v>
      </c>
      <c r="L5" t="s">
        <v>29</v>
      </c>
      <c r="M5" t="s">
        <v>21</v>
      </c>
      <c r="N5">
        <v>74</v>
      </c>
      <c r="Y5">
        <v>0</v>
      </c>
      <c r="Z5">
        <v>0</v>
      </c>
      <c r="AB5">
        <f>H5/[1]Sheet1!$H$97</f>
        <v>0</v>
      </c>
      <c r="AD5" t="e">
        <f t="shared" si="1"/>
        <v>#VALUE!</v>
      </c>
      <c r="AG5">
        <f t="shared" si="0"/>
        <v>0</v>
      </c>
    </row>
    <row r="6" spans="1:33" ht="75" x14ac:dyDescent="0.25">
      <c r="A6" s="3" t="s">
        <v>32</v>
      </c>
      <c r="B6" s="3" t="s">
        <v>33</v>
      </c>
      <c r="C6" s="3" t="s">
        <v>2</v>
      </c>
      <c r="D6" s="3">
        <v>0</v>
      </c>
      <c r="E6" s="4">
        <v>1</v>
      </c>
      <c r="F6" s="3" t="s">
        <v>34</v>
      </c>
      <c r="J6" s="3"/>
      <c r="K6">
        <v>25</v>
      </c>
      <c r="L6" t="s">
        <v>29</v>
      </c>
      <c r="M6" t="s">
        <v>21</v>
      </c>
      <c r="N6">
        <v>92</v>
      </c>
      <c r="Y6">
        <v>0</v>
      </c>
      <c r="Z6">
        <v>0</v>
      </c>
      <c r="AB6">
        <f>H6/[1]Sheet1!$H$97</f>
        <v>0</v>
      </c>
      <c r="AD6" t="e">
        <f t="shared" si="1"/>
        <v>#VALUE!</v>
      </c>
      <c r="AG6">
        <f t="shared" si="0"/>
        <v>0</v>
      </c>
    </row>
    <row r="7" spans="1:33" ht="45" x14ac:dyDescent="0.25">
      <c r="A7" s="3" t="s">
        <v>35</v>
      </c>
      <c r="B7" s="3" t="s">
        <v>36</v>
      </c>
      <c r="C7" s="3" t="s">
        <v>2</v>
      </c>
      <c r="D7" s="3"/>
      <c r="E7" s="4">
        <v>1</v>
      </c>
      <c r="F7" s="3" t="s">
        <v>24</v>
      </c>
      <c r="J7" s="3"/>
      <c r="M7" t="s">
        <v>21</v>
      </c>
      <c r="N7">
        <v>58</v>
      </c>
      <c r="Y7">
        <v>0</v>
      </c>
      <c r="Z7">
        <v>0</v>
      </c>
      <c r="AB7">
        <f>H7/[1]Sheet1!$H$97</f>
        <v>0</v>
      </c>
      <c r="AD7" t="e">
        <f t="shared" si="1"/>
        <v>#VALUE!</v>
      </c>
      <c r="AG7">
        <f t="shared" si="0"/>
        <v>0</v>
      </c>
    </row>
    <row r="8" spans="1:33" ht="45" x14ac:dyDescent="0.25">
      <c r="A8" s="3" t="s">
        <v>37</v>
      </c>
      <c r="B8" s="3" t="s">
        <v>31</v>
      </c>
      <c r="C8" s="3" t="s">
        <v>2</v>
      </c>
      <c r="D8" s="3">
        <v>0</v>
      </c>
      <c r="E8" s="4">
        <v>1</v>
      </c>
      <c r="F8" s="3" t="s">
        <v>24</v>
      </c>
      <c r="G8">
        <v>2021</v>
      </c>
      <c r="H8">
        <v>2021</v>
      </c>
      <c r="I8">
        <v>2021</v>
      </c>
      <c r="J8" s="3"/>
      <c r="K8">
        <v>26</v>
      </c>
      <c r="L8" t="s">
        <v>29</v>
      </c>
      <c r="M8" t="s">
        <v>21</v>
      </c>
      <c r="N8">
        <v>63</v>
      </c>
      <c r="O8" s="41">
        <f>500+505</f>
        <v>1005</v>
      </c>
      <c r="P8" s="41">
        <f>500+505</f>
        <v>1005</v>
      </c>
      <c r="Q8" s="41">
        <f>500+505</f>
        <v>1005</v>
      </c>
      <c r="R8" s="41" t="s">
        <v>1111</v>
      </c>
      <c r="S8" t="s">
        <v>954</v>
      </c>
      <c r="V8" s="6">
        <v>65</v>
      </c>
      <c r="W8" s="6">
        <v>32</v>
      </c>
      <c r="X8" s="6" t="s">
        <v>38</v>
      </c>
      <c r="Y8">
        <v>0.33298355537222724</v>
      </c>
      <c r="Z8">
        <v>0.33538958902641902</v>
      </c>
      <c r="AB8">
        <f>H8/[1]Sheet1!$H$97</f>
        <v>1.012566417732325</v>
      </c>
      <c r="AD8" t="e">
        <f t="shared" si="1"/>
        <v>#VALUE!</v>
      </c>
      <c r="AG8">
        <f t="shared" si="0"/>
        <v>8.7201293146868952</v>
      </c>
    </row>
    <row r="9" spans="1:33" ht="45" x14ac:dyDescent="0.25">
      <c r="A9" s="3" t="s">
        <v>39</v>
      </c>
      <c r="B9" s="3" t="s">
        <v>40</v>
      </c>
      <c r="C9" s="3" t="s">
        <v>2</v>
      </c>
      <c r="D9" s="3">
        <v>0</v>
      </c>
      <c r="E9" s="4">
        <v>1</v>
      </c>
      <c r="F9" s="3" t="s">
        <v>19</v>
      </c>
      <c r="G9">
        <v>4157</v>
      </c>
      <c r="H9">
        <v>4157</v>
      </c>
      <c r="I9">
        <v>4157</v>
      </c>
      <c r="J9" s="3"/>
      <c r="K9">
        <v>24</v>
      </c>
      <c r="L9" t="s">
        <v>29</v>
      </c>
      <c r="M9" t="s">
        <v>21</v>
      </c>
      <c r="N9">
        <v>44</v>
      </c>
      <c r="O9" s="41">
        <f>590+645</f>
        <v>1235</v>
      </c>
      <c r="P9" s="41">
        <f>590+645</f>
        <v>1235</v>
      </c>
      <c r="Q9" s="41">
        <f>590+645</f>
        <v>1235</v>
      </c>
      <c r="R9" s="41" t="s">
        <v>1125</v>
      </c>
      <c r="S9" t="s">
        <v>955</v>
      </c>
      <c r="V9" s="5">
        <v>95</v>
      </c>
      <c r="W9" s="5">
        <v>84</v>
      </c>
      <c r="X9" s="5" t="s">
        <v>41</v>
      </c>
      <c r="Y9">
        <v>0.68491471533020709</v>
      </c>
      <c r="Z9">
        <v>0.68986369202514797</v>
      </c>
      <c r="AB9">
        <f>H9/[1]Sheet1!$H$97</f>
        <v>2.0827504198482312</v>
      </c>
      <c r="AD9" t="e">
        <f t="shared" si="1"/>
        <v>#VALUE!</v>
      </c>
      <c r="AG9">
        <f t="shared" si="0"/>
        <v>16.556728608603549</v>
      </c>
    </row>
    <row r="10" spans="1:33" ht="45" x14ac:dyDescent="0.25">
      <c r="A10" s="3" t="s">
        <v>42</v>
      </c>
      <c r="B10" s="3" t="s">
        <v>43</v>
      </c>
      <c r="C10" s="3" t="s">
        <v>2</v>
      </c>
      <c r="D10" s="3">
        <v>0</v>
      </c>
      <c r="E10" s="4">
        <v>1</v>
      </c>
      <c r="F10" s="3" t="s">
        <v>44</v>
      </c>
      <c r="G10">
        <v>9110</v>
      </c>
      <c r="H10">
        <v>9110</v>
      </c>
      <c r="I10">
        <v>9110</v>
      </c>
      <c r="J10" s="3"/>
      <c r="K10">
        <v>45</v>
      </c>
      <c r="L10" t="s">
        <v>29</v>
      </c>
      <c r="M10" t="s">
        <v>21</v>
      </c>
      <c r="N10">
        <v>32</v>
      </c>
      <c r="O10">
        <f>2034 *2/3</f>
        <v>1356</v>
      </c>
      <c r="P10">
        <f>2034 *2/3</f>
        <v>1356</v>
      </c>
      <c r="Q10">
        <f>2034 *2/3</f>
        <v>1356</v>
      </c>
      <c r="R10" t="s">
        <v>834</v>
      </c>
      <c r="V10" s="5">
        <v>95</v>
      </c>
      <c r="W10" s="5">
        <v>92</v>
      </c>
      <c r="X10" s="5" t="s">
        <v>45</v>
      </c>
      <c r="Y10">
        <v>1.5009798067496241</v>
      </c>
      <c r="Z10">
        <v>1.5118254111977623</v>
      </c>
      <c r="AB10">
        <f>H10/[1]Sheet1!$H$97</f>
        <v>4.5643147281254235</v>
      </c>
      <c r="AD10" t="e">
        <f t="shared" si="1"/>
        <v>#VALUE!</v>
      </c>
      <c r="AG10">
        <f t="shared" si="0"/>
        <v>68.032143503899306</v>
      </c>
    </row>
    <row r="11" spans="1:33" ht="45" x14ac:dyDescent="0.25">
      <c r="A11" s="3" t="s">
        <v>46</v>
      </c>
      <c r="B11" s="3" t="s">
        <v>47</v>
      </c>
      <c r="C11" s="3" t="s">
        <v>2</v>
      </c>
      <c r="D11" s="3">
        <v>0</v>
      </c>
      <c r="E11" s="4">
        <v>1</v>
      </c>
      <c r="F11" s="3" t="s">
        <v>44</v>
      </c>
      <c r="G11">
        <v>16512</v>
      </c>
      <c r="H11">
        <v>16512</v>
      </c>
      <c r="I11">
        <v>16512</v>
      </c>
      <c r="J11" s="3"/>
      <c r="K11">
        <v>52</v>
      </c>
      <c r="L11" t="s">
        <v>29</v>
      </c>
      <c r="M11" t="s">
        <v>21</v>
      </c>
      <c r="N11">
        <v>37</v>
      </c>
      <c r="O11">
        <v>1377</v>
      </c>
      <c r="P11">
        <v>1377</v>
      </c>
      <c r="Q11">
        <v>1377</v>
      </c>
      <c r="R11" t="s">
        <v>835</v>
      </c>
      <c r="V11" s="6">
        <v>92</v>
      </c>
      <c r="W11" s="6">
        <v>85</v>
      </c>
      <c r="X11" s="7" t="s">
        <v>48</v>
      </c>
      <c r="Y11">
        <v>2.7205464949560692</v>
      </c>
      <c r="Z11">
        <v>2.7402043018328706</v>
      </c>
      <c r="AB11">
        <f>H11/[1]Sheet1!$H$97</f>
        <v>8.2728830725364428</v>
      </c>
      <c r="AD11" t="e">
        <f t="shared" si="1"/>
        <v>#VALUE!</v>
      </c>
      <c r="AG11">
        <f t="shared" si="0"/>
        <v>142.49062369530927</v>
      </c>
    </row>
    <row r="12" spans="1:33" ht="45" x14ac:dyDescent="0.25">
      <c r="A12" s="3" t="s">
        <v>49</v>
      </c>
      <c r="B12" s="3" t="s">
        <v>40</v>
      </c>
      <c r="C12" s="3" t="s">
        <v>2</v>
      </c>
      <c r="D12" s="3">
        <v>0</v>
      </c>
      <c r="E12" s="4">
        <v>1</v>
      </c>
      <c r="F12" s="3" t="s">
        <v>44</v>
      </c>
      <c r="G12">
        <v>3588</v>
      </c>
      <c r="H12">
        <v>3588</v>
      </c>
      <c r="I12">
        <v>3588</v>
      </c>
      <c r="J12" s="3">
        <v>140</v>
      </c>
      <c r="K12">
        <v>29</v>
      </c>
      <c r="L12" t="s">
        <v>29</v>
      </c>
      <c r="M12" t="s">
        <v>21</v>
      </c>
      <c r="N12">
        <v>37</v>
      </c>
      <c r="O12" s="41">
        <f>650+710</f>
        <v>1360</v>
      </c>
      <c r="P12" s="41">
        <f>650+710</f>
        <v>1360</v>
      </c>
      <c r="Q12" s="41">
        <f>650+710</f>
        <v>1360</v>
      </c>
      <c r="R12" s="41" t="s">
        <v>1126</v>
      </c>
      <c r="S12" t="s">
        <v>956</v>
      </c>
      <c r="V12" s="5">
        <v>95</v>
      </c>
      <c r="W12" s="5">
        <v>90</v>
      </c>
      <c r="X12" s="5" t="s">
        <v>50</v>
      </c>
      <c r="Y12">
        <v>0.59116526307548312</v>
      </c>
      <c r="Z12">
        <v>0.595436835936067</v>
      </c>
      <c r="AB12">
        <f>H12/[1]Sheet1!$H$97</f>
        <v>1.7976686327677298</v>
      </c>
      <c r="AD12" t="e">
        <f t="shared" si="1"/>
        <v>#VALUE!</v>
      </c>
      <c r="AG12">
        <f t="shared" si="0"/>
        <v>17.267668242145945</v>
      </c>
    </row>
    <row r="13" spans="1:33" ht="75" x14ac:dyDescent="0.25">
      <c r="A13" s="3" t="s">
        <v>51</v>
      </c>
      <c r="B13" s="3" t="s">
        <v>52</v>
      </c>
      <c r="C13" s="3" t="s">
        <v>53</v>
      </c>
      <c r="D13" s="3">
        <v>0</v>
      </c>
      <c r="E13" s="4">
        <v>0</v>
      </c>
      <c r="F13" s="3" t="s">
        <v>19</v>
      </c>
      <c r="G13">
        <v>9615</v>
      </c>
      <c r="H13">
        <v>9615</v>
      </c>
      <c r="I13">
        <v>9615</v>
      </c>
      <c r="J13" s="3"/>
      <c r="K13">
        <v>32</v>
      </c>
      <c r="L13" t="s">
        <v>29</v>
      </c>
      <c r="M13" t="s">
        <v>21</v>
      </c>
      <c r="N13">
        <v>79</v>
      </c>
      <c r="O13" s="41">
        <f>495+500</f>
        <v>995</v>
      </c>
      <c r="P13" s="41">
        <f>495+500</f>
        <v>995</v>
      </c>
      <c r="Q13" s="41">
        <f>495+500</f>
        <v>995</v>
      </c>
      <c r="R13" s="41" t="s">
        <v>1127</v>
      </c>
      <c r="S13" t="s">
        <v>957</v>
      </c>
      <c r="V13">
        <v>81</v>
      </c>
      <c r="W13">
        <v>54</v>
      </c>
      <c r="Y13">
        <v>1.5841845051479291</v>
      </c>
      <c r="Z13">
        <v>1.5956313203805141</v>
      </c>
      <c r="AB13">
        <f>H13/[1]Sheet1!$H$97</f>
        <v>4.8173310769402793</v>
      </c>
      <c r="AD13" t="e">
        <f t="shared" si="1"/>
        <v>#VALUE!</v>
      </c>
      <c r="AG13">
        <f t="shared" si="0"/>
        <v>51.060202252176452</v>
      </c>
    </row>
    <row r="14" spans="1:33" ht="45" x14ac:dyDescent="0.25">
      <c r="A14" s="3" t="s">
        <v>54</v>
      </c>
      <c r="B14" s="3" t="s">
        <v>55</v>
      </c>
      <c r="C14" s="3" t="s">
        <v>2</v>
      </c>
      <c r="D14" s="3">
        <v>0</v>
      </c>
      <c r="E14" s="4">
        <v>1</v>
      </c>
      <c r="F14" s="3" t="s">
        <v>19</v>
      </c>
      <c r="J14" s="3"/>
      <c r="K14">
        <v>45</v>
      </c>
      <c r="L14" t="s">
        <v>29</v>
      </c>
      <c r="M14" t="s">
        <v>21</v>
      </c>
      <c r="N14">
        <v>64</v>
      </c>
      <c r="O14">
        <f>1593-12.418*N14+0.065*N14*N14</f>
        <v>1064.4880000000001</v>
      </c>
      <c r="P14">
        <f>1451-5.739*N14</f>
        <v>1083.704</v>
      </c>
      <c r="Y14">
        <v>0</v>
      </c>
      <c r="Z14">
        <v>0</v>
      </c>
      <c r="AB14">
        <f>H14/[1]Sheet1!$H$97</f>
        <v>0</v>
      </c>
      <c r="AD14" t="e">
        <f t="shared" si="1"/>
        <v>#VALUE!</v>
      </c>
      <c r="AG14">
        <f t="shared" si="0"/>
        <v>0</v>
      </c>
    </row>
    <row r="15" spans="1:33" ht="45" x14ac:dyDescent="0.25">
      <c r="A15" s="3" t="s">
        <v>56</v>
      </c>
      <c r="B15" s="3" t="s">
        <v>31</v>
      </c>
      <c r="C15" s="3" t="s">
        <v>2</v>
      </c>
      <c r="D15" s="3">
        <v>0</v>
      </c>
      <c r="E15" s="4">
        <v>1</v>
      </c>
      <c r="F15" s="3" t="s">
        <v>44</v>
      </c>
      <c r="G15">
        <v>2277</v>
      </c>
      <c r="H15">
        <v>2277</v>
      </c>
      <c r="I15">
        <v>2277</v>
      </c>
      <c r="J15" s="3"/>
      <c r="K15">
        <v>44</v>
      </c>
      <c r="L15" t="s">
        <v>29</v>
      </c>
      <c r="M15" t="s">
        <v>21</v>
      </c>
      <c r="N15">
        <v>62</v>
      </c>
      <c r="O15">
        <f>619 +621</f>
        <v>1240</v>
      </c>
      <c r="P15">
        <f>619 +621</f>
        <v>1240</v>
      </c>
      <c r="Q15">
        <f>619 +621</f>
        <v>1240</v>
      </c>
      <c r="R15" t="s">
        <v>836</v>
      </c>
      <c r="V15" s="6">
        <v>92</v>
      </c>
      <c r="W15" s="6">
        <v>80</v>
      </c>
      <c r="X15" s="6" t="s">
        <v>57</v>
      </c>
      <c r="Y15">
        <v>0.37516257079790272</v>
      </c>
      <c r="Z15">
        <v>0.37787337665173487</v>
      </c>
      <c r="AB15">
        <f>H15/[1]Sheet1!$H$97</f>
        <v>1.1408281707949055</v>
      </c>
      <c r="AD15" t="e">
        <f t="shared" si="1"/>
        <v>#VALUE!</v>
      </c>
      <c r="AG15">
        <f t="shared" si="0"/>
        <v>16.626428572676335</v>
      </c>
    </row>
    <row r="16" spans="1:33" ht="60" x14ac:dyDescent="0.25">
      <c r="A16" s="3" t="s">
        <v>58</v>
      </c>
      <c r="B16" s="3" t="s">
        <v>31</v>
      </c>
      <c r="C16" s="3" t="s">
        <v>2</v>
      </c>
      <c r="D16" s="3">
        <v>1</v>
      </c>
      <c r="E16" s="4">
        <v>1</v>
      </c>
      <c r="F16" s="3" t="s">
        <v>24</v>
      </c>
      <c r="G16">
        <v>2872</v>
      </c>
      <c r="H16">
        <v>2872</v>
      </c>
      <c r="I16">
        <v>2872</v>
      </c>
      <c r="J16" s="3"/>
      <c r="K16">
        <v>48</v>
      </c>
      <c r="L16" t="s">
        <v>29</v>
      </c>
      <c r="M16" t="s">
        <v>21</v>
      </c>
      <c r="N16">
        <v>33</v>
      </c>
      <c r="O16">
        <f>1593-12.418*N16+0.065*N16*N16</f>
        <v>1253.9910000000002</v>
      </c>
      <c r="P16">
        <f>1451-5.739*N16</f>
        <v>1261.6130000000001</v>
      </c>
      <c r="T16">
        <v>-1</v>
      </c>
      <c r="U16">
        <v>-1</v>
      </c>
      <c r="V16" s="5">
        <v>95</v>
      </c>
      <c r="W16" s="5">
        <v>91</v>
      </c>
      <c r="X16" s="5" t="s">
        <v>59</v>
      </c>
      <c r="Y16">
        <v>0.47319582930679693</v>
      </c>
      <c r="Z16">
        <v>0.47661499242151184</v>
      </c>
      <c r="AB16">
        <f>H16/[1]Sheet1!$H$97</f>
        <v>1.4389365421708251</v>
      </c>
      <c r="AD16" t="e">
        <f t="shared" si="1"/>
        <v>#VALUE!</v>
      </c>
      <c r="AG16">
        <f t="shared" si="0"/>
        <v>22.87751963623257</v>
      </c>
    </row>
    <row r="17" spans="1:33" ht="60" x14ac:dyDescent="0.25">
      <c r="A17" s="3" t="s">
        <v>60</v>
      </c>
      <c r="B17" s="3" t="s">
        <v>61</v>
      </c>
      <c r="C17" s="3" t="s">
        <v>2</v>
      </c>
      <c r="D17" s="3">
        <v>0</v>
      </c>
      <c r="E17" s="4">
        <v>1</v>
      </c>
      <c r="F17" s="3" t="s">
        <v>24</v>
      </c>
      <c r="J17" s="3"/>
      <c r="K17">
        <v>41</v>
      </c>
      <c r="L17" t="s">
        <v>29</v>
      </c>
      <c r="M17" t="s">
        <v>21</v>
      </c>
      <c r="N17">
        <v>51</v>
      </c>
      <c r="O17">
        <f>1593-12.418*N17+0.065*N17*N17</f>
        <v>1128.7470000000001</v>
      </c>
      <c r="P17">
        <f>1451-5.739*N17</f>
        <v>1158.3109999999999</v>
      </c>
      <c r="Y17">
        <v>0</v>
      </c>
      <c r="Z17">
        <v>0</v>
      </c>
      <c r="AB17">
        <f>H17/[1]Sheet1!$H$97</f>
        <v>0</v>
      </c>
      <c r="AD17" t="e">
        <f t="shared" si="1"/>
        <v>#VALUE!</v>
      </c>
      <c r="AG17">
        <f t="shared" si="0"/>
        <v>0</v>
      </c>
    </row>
    <row r="18" spans="1:33" ht="45" x14ac:dyDescent="0.25">
      <c r="A18" s="3" t="s">
        <v>62</v>
      </c>
      <c r="B18" s="3" t="s">
        <v>63</v>
      </c>
      <c r="C18" s="3" t="s">
        <v>2</v>
      </c>
      <c r="D18" s="3">
        <v>1</v>
      </c>
      <c r="E18" s="4">
        <v>1</v>
      </c>
      <c r="F18" s="3" t="s">
        <v>24</v>
      </c>
      <c r="J18" s="3"/>
      <c r="K18">
        <v>34</v>
      </c>
      <c r="L18" t="s">
        <v>29</v>
      </c>
      <c r="M18" t="s">
        <v>21</v>
      </c>
      <c r="Y18">
        <v>0</v>
      </c>
      <c r="Z18">
        <v>0</v>
      </c>
      <c r="AB18">
        <f>H18/[1]Sheet1!$H$97</f>
        <v>0</v>
      </c>
      <c r="AD18" t="e">
        <f t="shared" si="1"/>
        <v>#VALUE!</v>
      </c>
      <c r="AG18">
        <f t="shared" si="0"/>
        <v>0</v>
      </c>
    </row>
    <row r="19" spans="1:33" ht="45" x14ac:dyDescent="0.25">
      <c r="A19" s="3" t="s">
        <v>64</v>
      </c>
      <c r="B19" s="3" t="s">
        <v>47</v>
      </c>
      <c r="C19" s="3" t="s">
        <v>2</v>
      </c>
      <c r="D19" s="3">
        <v>0</v>
      </c>
      <c r="E19" s="4">
        <v>1</v>
      </c>
      <c r="F19" s="3" t="s">
        <v>19</v>
      </c>
      <c r="G19">
        <v>3453</v>
      </c>
      <c r="H19">
        <v>3453</v>
      </c>
      <c r="I19">
        <v>3453</v>
      </c>
      <c r="J19" s="3"/>
      <c r="K19">
        <v>17</v>
      </c>
      <c r="L19" t="s">
        <v>29</v>
      </c>
      <c r="M19" t="s">
        <v>21</v>
      </c>
      <c r="N19">
        <v>48</v>
      </c>
      <c r="O19">
        <f>615+590</f>
        <v>1205</v>
      </c>
      <c r="P19">
        <f>615+590</f>
        <v>1205</v>
      </c>
      <c r="Q19">
        <f>615+590</f>
        <v>1205</v>
      </c>
      <c r="R19" t="s">
        <v>837</v>
      </c>
      <c r="S19" t="s">
        <v>1275</v>
      </c>
      <c r="V19" s="6">
        <v>88</v>
      </c>
      <c r="W19" s="6">
        <v>82</v>
      </c>
      <c r="X19" s="6" t="s">
        <v>65</v>
      </c>
      <c r="Y19">
        <v>0.56892242290959949</v>
      </c>
      <c r="Z19">
        <v>0.57303327605552945</v>
      </c>
      <c r="AB19">
        <f>H19/[1]Sheet1!$H$97</f>
        <v>1.7300305989261346</v>
      </c>
      <c r="AD19" t="e">
        <f t="shared" si="1"/>
        <v>#VALUE!</v>
      </c>
      <c r="AG19">
        <f t="shared" si="0"/>
        <v>9.7415656929440004</v>
      </c>
    </row>
    <row r="20" spans="1:33" ht="45" x14ac:dyDescent="0.25">
      <c r="A20" s="3" t="s">
        <v>66</v>
      </c>
      <c r="B20" s="3" t="s">
        <v>47</v>
      </c>
      <c r="C20" s="3" t="s">
        <v>2</v>
      </c>
      <c r="D20" s="3">
        <v>1</v>
      </c>
      <c r="E20" s="4">
        <v>1</v>
      </c>
      <c r="F20" s="3" t="s">
        <v>19</v>
      </c>
      <c r="G20">
        <v>2198</v>
      </c>
      <c r="H20">
        <v>2198</v>
      </c>
      <c r="I20">
        <v>2198</v>
      </c>
      <c r="J20" s="3"/>
      <c r="K20">
        <v>32</v>
      </c>
      <c r="L20" t="s">
        <v>29</v>
      </c>
      <c r="M20" t="s">
        <v>21</v>
      </c>
      <c r="N20">
        <v>60</v>
      </c>
      <c r="O20">
        <f>1593-12.418*N20+0.065*N20*N20</f>
        <v>1081.92</v>
      </c>
      <c r="P20">
        <f>1451-5.739*N20</f>
        <v>1106.6600000000001</v>
      </c>
      <c r="T20">
        <v>-1</v>
      </c>
      <c r="U20">
        <v>-1</v>
      </c>
      <c r="V20" s="6">
        <v>81</v>
      </c>
      <c r="W20" s="6">
        <v>58</v>
      </c>
      <c r="X20" s="6" t="s">
        <v>67</v>
      </c>
      <c r="Y20">
        <v>0.36214639025638568</v>
      </c>
      <c r="Z20">
        <v>0.36476314531423504</v>
      </c>
      <c r="AB20">
        <f>H20/[1]Sheet1!$H$97</f>
        <v>1.1012473954357498</v>
      </c>
      <c r="AD20" t="e">
        <f t="shared" si="1"/>
        <v>#VALUE!</v>
      </c>
      <c r="AG20">
        <f t="shared" si="0"/>
        <v>11.672420650055521</v>
      </c>
    </row>
    <row r="21" spans="1:33" ht="45" x14ac:dyDescent="0.25">
      <c r="A21" s="3" t="s">
        <v>68</v>
      </c>
      <c r="B21" s="3" t="s">
        <v>69</v>
      </c>
      <c r="C21" s="3" t="s">
        <v>2</v>
      </c>
      <c r="D21" s="3">
        <v>0</v>
      </c>
      <c r="E21" s="4">
        <v>1</v>
      </c>
      <c r="F21" s="3" t="s">
        <v>70</v>
      </c>
      <c r="G21">
        <v>2485</v>
      </c>
      <c r="H21">
        <v>2485</v>
      </c>
      <c r="I21">
        <v>2485</v>
      </c>
      <c r="J21" s="3"/>
      <c r="K21">
        <v>43</v>
      </c>
      <c r="L21" t="s">
        <v>71</v>
      </c>
      <c r="M21" t="s">
        <v>21</v>
      </c>
      <c r="N21">
        <v>72</v>
      </c>
      <c r="O21">
        <f>1593-12.418*N21+0.065*N21*N21</f>
        <v>1035.864</v>
      </c>
      <c r="P21">
        <f>1451-5.739*N21</f>
        <v>1037.7919999999999</v>
      </c>
      <c r="T21">
        <v>-1</v>
      </c>
      <c r="U21">
        <v>-1</v>
      </c>
      <c r="V21" s="6">
        <v>81</v>
      </c>
      <c r="W21" s="6">
        <v>70</v>
      </c>
      <c r="X21" s="6" t="s">
        <v>72</v>
      </c>
      <c r="Y21">
        <v>0.40943302083126409</v>
      </c>
      <c r="Z21">
        <v>0.41239145409730393</v>
      </c>
      <c r="AB21">
        <f>H21/[1]Sheet1!$H$97</f>
        <v>1.2450408451582522</v>
      </c>
      <c r="AD21" t="e">
        <f t="shared" si="1"/>
        <v>#VALUE!</v>
      </c>
      <c r="AG21">
        <f t="shared" si="0"/>
        <v>17.732832526184069</v>
      </c>
    </row>
    <row r="22" spans="1:33" ht="45" x14ac:dyDescent="0.25">
      <c r="A22" s="3" t="s">
        <v>73</v>
      </c>
      <c r="B22" s="3" t="s">
        <v>47</v>
      </c>
      <c r="C22" s="3" t="s">
        <v>2</v>
      </c>
      <c r="D22" s="3">
        <v>0</v>
      </c>
      <c r="E22" s="4">
        <v>1</v>
      </c>
      <c r="F22" s="3" t="s">
        <v>24</v>
      </c>
      <c r="J22" s="3"/>
      <c r="M22" t="s">
        <v>21</v>
      </c>
      <c r="N22">
        <v>65</v>
      </c>
      <c r="V22">
        <v>65</v>
      </c>
      <c r="W22">
        <v>40</v>
      </c>
      <c r="Y22">
        <v>0</v>
      </c>
      <c r="Z22">
        <v>0</v>
      </c>
      <c r="AB22">
        <f>H22/[1]Sheet1!$H$97</f>
        <v>0</v>
      </c>
      <c r="AD22" t="e">
        <f t="shared" si="1"/>
        <v>#VALUE!</v>
      </c>
      <c r="AG22">
        <f t="shared" si="0"/>
        <v>0</v>
      </c>
    </row>
    <row r="23" spans="1:33" ht="60" x14ac:dyDescent="0.25">
      <c r="A23" s="3" t="s">
        <v>74</v>
      </c>
      <c r="B23" s="3" t="s">
        <v>75</v>
      </c>
      <c r="C23" s="3" t="s">
        <v>53</v>
      </c>
      <c r="D23" s="3">
        <v>0</v>
      </c>
      <c r="E23" s="4">
        <v>0</v>
      </c>
      <c r="F23" s="3" t="s">
        <v>70</v>
      </c>
      <c r="G23">
        <v>3522</v>
      </c>
      <c r="H23">
        <v>3522</v>
      </c>
      <c r="I23">
        <v>3522</v>
      </c>
      <c r="J23" s="3"/>
      <c r="K23">
        <v>25</v>
      </c>
      <c r="L23" t="s">
        <v>29</v>
      </c>
      <c r="M23" t="s">
        <v>21</v>
      </c>
      <c r="N23">
        <v>74</v>
      </c>
      <c r="O23" s="41">
        <f>495+500</f>
        <v>995</v>
      </c>
      <c r="P23" s="41">
        <f>495+500</f>
        <v>995</v>
      </c>
      <c r="Q23" s="41">
        <f>495+500</f>
        <v>995</v>
      </c>
      <c r="R23" s="41" t="s">
        <v>1127</v>
      </c>
      <c r="S23" t="s">
        <v>958</v>
      </c>
      <c r="V23">
        <v>73</v>
      </c>
      <c r="W23">
        <v>51</v>
      </c>
      <c r="Y23">
        <v>0.58029098566105108</v>
      </c>
      <c r="Z23">
        <v>0.58448398443891536</v>
      </c>
      <c r="AB23">
        <f>H23/[1]Sheet1!$H$97</f>
        <v>1.7646011495562832</v>
      </c>
      <c r="AD23" t="e">
        <f t="shared" si="1"/>
        <v>#VALUE!</v>
      </c>
      <c r="AG23">
        <f t="shared" si="0"/>
        <v>14.612099610972884</v>
      </c>
    </row>
    <row r="24" spans="1:33" ht="75" x14ac:dyDescent="0.25">
      <c r="A24" s="3" t="s">
        <v>76</v>
      </c>
      <c r="B24" s="3" t="s">
        <v>77</v>
      </c>
      <c r="C24" s="3" t="s">
        <v>53</v>
      </c>
      <c r="D24" s="3">
        <v>0</v>
      </c>
      <c r="E24" s="4">
        <v>0</v>
      </c>
      <c r="F24" s="3" t="s">
        <v>70</v>
      </c>
      <c r="G24">
        <v>4584</v>
      </c>
      <c r="H24">
        <v>4584</v>
      </c>
      <c r="I24">
        <v>4584</v>
      </c>
      <c r="J24" s="3"/>
      <c r="K24">
        <v>40</v>
      </c>
      <c r="L24" t="s">
        <v>29</v>
      </c>
      <c r="M24" t="s">
        <v>21</v>
      </c>
      <c r="N24">
        <v>56</v>
      </c>
      <c r="O24" s="40">
        <f>485+490</f>
        <v>975</v>
      </c>
      <c r="P24" s="40">
        <f>485+490</f>
        <v>975</v>
      </c>
      <c r="Q24" s="40">
        <f>485+490</f>
        <v>975</v>
      </c>
      <c r="R24" s="40" t="s">
        <v>838</v>
      </c>
      <c r="V24" s="6">
        <v>74</v>
      </c>
      <c r="W24" s="6">
        <v>52</v>
      </c>
      <c r="X24" s="6" t="s">
        <v>78</v>
      </c>
      <c r="Y24">
        <v>0.75526799496600183</v>
      </c>
      <c r="Z24">
        <v>0.76072532216581146</v>
      </c>
      <c r="AB24">
        <f>H24/[1]Sheet1!$H$97</f>
        <v>2.2966870157768322</v>
      </c>
      <c r="AD24" t="e">
        <f t="shared" si="1"/>
        <v>#VALUE!</v>
      </c>
      <c r="AG24">
        <f t="shared" si="0"/>
        <v>30.429012886632457</v>
      </c>
    </row>
    <row r="25" spans="1:33" ht="45" x14ac:dyDescent="0.25">
      <c r="A25" s="3" t="s">
        <v>79</v>
      </c>
      <c r="B25" s="3" t="s">
        <v>80</v>
      </c>
      <c r="C25" s="3" t="s">
        <v>2</v>
      </c>
      <c r="D25" s="3">
        <v>1</v>
      </c>
      <c r="E25" s="4">
        <v>1</v>
      </c>
      <c r="F25" s="3" t="s">
        <v>24</v>
      </c>
      <c r="G25">
        <v>1717</v>
      </c>
      <c r="H25" t="s">
        <v>28</v>
      </c>
      <c r="I25">
        <v>1717</v>
      </c>
      <c r="J25" s="3"/>
      <c r="K25">
        <v>52</v>
      </c>
      <c r="L25" t="s">
        <v>29</v>
      </c>
      <c r="M25" t="s">
        <v>21</v>
      </c>
      <c r="N25">
        <v>43</v>
      </c>
      <c r="O25" s="41">
        <f>550+540</f>
        <v>1090</v>
      </c>
      <c r="P25" s="41">
        <f>550+540</f>
        <v>1090</v>
      </c>
      <c r="Q25" s="41">
        <f>550+540</f>
        <v>1090</v>
      </c>
      <c r="R25" s="41" t="s">
        <v>1128</v>
      </c>
      <c r="S25" t="s">
        <v>959</v>
      </c>
      <c r="W25" s="6">
        <v>71.5</v>
      </c>
      <c r="X25" s="6" t="s">
        <v>81</v>
      </c>
      <c r="Y25" t="s">
        <v>28</v>
      </c>
      <c r="Z25">
        <v>0.2849400912213565</v>
      </c>
      <c r="AB25" t="e">
        <f>H25/[1]Sheet1!$H$97</f>
        <v>#VALUE!</v>
      </c>
      <c r="AD25" t="e">
        <f t="shared" si="1"/>
        <v>#VALUE!</v>
      </c>
      <c r="AG25">
        <f t="shared" si="0"/>
        <v>14.816884743510538</v>
      </c>
    </row>
    <row r="26" spans="1:33" ht="45" x14ac:dyDescent="0.25">
      <c r="A26" s="3" t="s">
        <v>82</v>
      </c>
      <c r="B26" s="3" t="s">
        <v>23</v>
      </c>
      <c r="C26" s="3" t="s">
        <v>2</v>
      </c>
      <c r="D26" s="3">
        <v>0</v>
      </c>
      <c r="E26" s="4">
        <v>1</v>
      </c>
      <c r="F26" s="3" t="s">
        <v>24</v>
      </c>
      <c r="J26" s="3"/>
      <c r="K26">
        <v>8</v>
      </c>
      <c r="L26" t="s">
        <v>83</v>
      </c>
      <c r="M26" t="s">
        <v>21</v>
      </c>
      <c r="N26">
        <v>70</v>
      </c>
      <c r="S26" t="s">
        <v>84</v>
      </c>
      <c r="Y26">
        <v>0</v>
      </c>
      <c r="Z26">
        <v>0</v>
      </c>
      <c r="AB26">
        <f>H26/[1]Sheet1!$H$97</f>
        <v>0</v>
      </c>
      <c r="AD26" t="e">
        <f t="shared" si="1"/>
        <v>#VALUE!</v>
      </c>
      <c r="AG26">
        <f t="shared" si="0"/>
        <v>0</v>
      </c>
    </row>
    <row r="27" spans="1:33" ht="45" x14ac:dyDescent="0.25">
      <c r="A27" s="3" t="s">
        <v>85</v>
      </c>
      <c r="B27" s="3" t="s">
        <v>55</v>
      </c>
      <c r="C27" s="3" t="s">
        <v>2</v>
      </c>
      <c r="D27" s="3">
        <v>0</v>
      </c>
      <c r="E27" s="4">
        <v>1</v>
      </c>
      <c r="F27" s="3" t="s">
        <v>44</v>
      </c>
      <c r="G27">
        <v>6700</v>
      </c>
      <c r="H27">
        <v>6700</v>
      </c>
      <c r="I27">
        <v>6700</v>
      </c>
      <c r="J27" s="3"/>
      <c r="K27">
        <v>12</v>
      </c>
      <c r="L27" t="s">
        <v>83</v>
      </c>
      <c r="M27" t="s">
        <v>21</v>
      </c>
      <c r="N27">
        <v>6</v>
      </c>
      <c r="O27" s="41">
        <f>750+750</f>
        <v>1500</v>
      </c>
      <c r="P27" s="41">
        <f>750+750</f>
        <v>1500</v>
      </c>
      <c r="Q27" s="41">
        <f>750+750</f>
        <v>1500</v>
      </c>
      <c r="R27" s="41" t="s">
        <v>1129</v>
      </c>
      <c r="S27" t="s">
        <v>960</v>
      </c>
      <c r="V27" s="5">
        <v>97</v>
      </c>
      <c r="W27" s="5">
        <v>97</v>
      </c>
      <c r="X27" s="5" t="s">
        <v>86</v>
      </c>
      <c r="Y27">
        <v>1.1039039193438509</v>
      </c>
      <c r="Z27">
        <v>1.1118803792563126</v>
      </c>
      <c r="AB27">
        <f>H27/[1]Sheet1!$H$97</f>
        <v>3.3568505684347243</v>
      </c>
      <c r="AD27" t="e">
        <f t="shared" si="1"/>
        <v>#VALUE!</v>
      </c>
      <c r="AG27">
        <f t="shared" si="0"/>
        <v>13.34256455107575</v>
      </c>
    </row>
    <row r="28" spans="1:33" ht="45" x14ac:dyDescent="0.25">
      <c r="A28" s="3" t="s">
        <v>87</v>
      </c>
      <c r="B28" s="3" t="s">
        <v>88</v>
      </c>
      <c r="C28" s="3" t="s">
        <v>2</v>
      </c>
      <c r="D28" s="3">
        <v>0</v>
      </c>
      <c r="E28" s="4">
        <v>1</v>
      </c>
      <c r="F28" s="3" t="s">
        <v>24</v>
      </c>
      <c r="J28" s="3"/>
      <c r="M28" t="s">
        <v>21</v>
      </c>
      <c r="N28">
        <v>76</v>
      </c>
      <c r="V28" s="6">
        <v>74</v>
      </c>
      <c r="W28" s="6">
        <v>53</v>
      </c>
      <c r="X28" s="6" t="s">
        <v>89</v>
      </c>
      <c r="Y28">
        <v>0</v>
      </c>
      <c r="Z28">
        <v>0</v>
      </c>
      <c r="AB28">
        <f>H28/[1]Sheet1!$H$97</f>
        <v>0</v>
      </c>
      <c r="AD28" t="e">
        <f t="shared" si="1"/>
        <v>#VALUE!</v>
      </c>
      <c r="AG28">
        <f t="shared" si="0"/>
        <v>0</v>
      </c>
    </row>
    <row r="29" spans="1:33" ht="45" x14ac:dyDescent="0.25">
      <c r="A29" s="3" t="s">
        <v>90</v>
      </c>
      <c r="B29" s="3" t="s">
        <v>55</v>
      </c>
      <c r="C29" s="3" t="s">
        <v>2</v>
      </c>
      <c r="D29" s="3">
        <v>0</v>
      </c>
      <c r="E29" s="4">
        <v>1</v>
      </c>
      <c r="F29" s="3" t="s">
        <v>70</v>
      </c>
      <c r="G29">
        <v>1857</v>
      </c>
      <c r="H29">
        <v>1857</v>
      </c>
      <c r="I29">
        <v>1857</v>
      </c>
      <c r="J29" s="3"/>
      <c r="K29">
        <v>28</v>
      </c>
      <c r="L29" t="s">
        <v>29</v>
      </c>
      <c r="M29" t="s">
        <v>21</v>
      </c>
      <c r="N29">
        <v>64</v>
      </c>
      <c r="O29" s="41">
        <f>545+520</f>
        <v>1065</v>
      </c>
      <c r="P29" s="41">
        <f>545+520</f>
        <v>1065</v>
      </c>
      <c r="Q29" s="41">
        <f>545+520</f>
        <v>1065</v>
      </c>
      <c r="R29" s="41" t="s">
        <v>1130</v>
      </c>
      <c r="S29" t="s">
        <v>961</v>
      </c>
      <c r="V29">
        <v>79</v>
      </c>
      <c r="W29">
        <v>46</v>
      </c>
      <c r="Y29">
        <v>0.30596262361515386</v>
      </c>
      <c r="Z29">
        <v>0.30817341257895109</v>
      </c>
      <c r="AB29">
        <f>H29/[1]Sheet1!$H$97</f>
        <v>0.9303987321766094</v>
      </c>
      <c r="AD29" t="e">
        <f t="shared" si="1"/>
        <v>#VALUE!</v>
      </c>
      <c r="AG29">
        <f t="shared" si="0"/>
        <v>8.6288555522106307</v>
      </c>
    </row>
    <row r="30" spans="1:33" ht="90" x14ac:dyDescent="0.25">
      <c r="A30" s="3" t="s">
        <v>91</v>
      </c>
      <c r="B30" s="3" t="s">
        <v>92</v>
      </c>
      <c r="C30" s="3" t="s">
        <v>53</v>
      </c>
      <c r="D30" s="3">
        <v>0</v>
      </c>
      <c r="E30" s="4">
        <v>0</v>
      </c>
      <c r="F30" s="3" t="s">
        <v>24</v>
      </c>
      <c r="G30">
        <v>1891</v>
      </c>
      <c r="H30">
        <v>1891</v>
      </c>
      <c r="I30">
        <v>1891</v>
      </c>
      <c r="J30" s="3"/>
      <c r="K30">
        <v>37</v>
      </c>
      <c r="L30" t="s">
        <v>29</v>
      </c>
      <c r="M30" t="s">
        <v>21</v>
      </c>
      <c r="N30">
        <v>67</v>
      </c>
      <c r="O30" s="41">
        <v>1048</v>
      </c>
      <c r="P30" s="41">
        <v>1048</v>
      </c>
      <c r="Q30" s="41">
        <v>1048</v>
      </c>
      <c r="R30" t="s">
        <v>839</v>
      </c>
      <c r="V30">
        <v>79</v>
      </c>
      <c r="W30">
        <v>57</v>
      </c>
      <c r="X30" t="s">
        <v>93</v>
      </c>
      <c r="Y30">
        <v>0.31156452410137642</v>
      </c>
      <c r="Z30">
        <v>0.31381579062293835</v>
      </c>
      <c r="AB30">
        <f>H30/[1]Sheet1!$H$97</f>
        <v>0.94743349625523332</v>
      </c>
      <c r="AD30" t="e">
        <f t="shared" si="1"/>
        <v>#VALUE!</v>
      </c>
      <c r="AG30">
        <f t="shared" si="0"/>
        <v>11.611184253048719</v>
      </c>
    </row>
    <row r="31" spans="1:33" ht="90" x14ac:dyDescent="0.25">
      <c r="A31" s="3" t="s">
        <v>94</v>
      </c>
      <c r="B31" s="3" t="s">
        <v>55</v>
      </c>
      <c r="C31" s="3" t="s">
        <v>2</v>
      </c>
      <c r="D31" s="3">
        <v>0</v>
      </c>
      <c r="E31" s="4">
        <v>1</v>
      </c>
      <c r="F31" s="3" t="s">
        <v>44</v>
      </c>
      <c r="G31">
        <v>4528</v>
      </c>
      <c r="H31">
        <v>4528</v>
      </c>
      <c r="I31">
        <v>4528</v>
      </c>
      <c r="J31" s="3"/>
      <c r="K31">
        <v>46</v>
      </c>
      <c r="L31" t="s">
        <v>95</v>
      </c>
      <c r="M31" t="s">
        <v>21</v>
      </c>
      <c r="N31">
        <v>8</v>
      </c>
      <c r="O31" s="41">
        <f>730+775</f>
        <v>1505</v>
      </c>
      <c r="P31" s="41">
        <f>730+775</f>
        <v>1505</v>
      </c>
      <c r="Q31" s="41">
        <f>730+775</f>
        <v>1505</v>
      </c>
      <c r="R31" s="41" t="s">
        <v>1131</v>
      </c>
      <c r="S31" t="s">
        <v>962</v>
      </c>
      <c r="V31" s="5">
        <v>98</v>
      </c>
      <c r="W31" s="5">
        <v>93</v>
      </c>
      <c r="X31" s="5" t="s">
        <v>96</v>
      </c>
      <c r="Y31">
        <v>0.7460413353416353</v>
      </c>
      <c r="Z31">
        <v>0.75143199362277358</v>
      </c>
      <c r="AB31">
        <f>H31/[1]Sheet1!$H$97</f>
        <v>2.2686297572943928</v>
      </c>
      <c r="AD31" t="e">
        <f t="shared" si="1"/>
        <v>#VALUE!</v>
      </c>
      <c r="AG31">
        <f t="shared" si="0"/>
        <v>34.565871706647584</v>
      </c>
    </row>
    <row r="32" spans="1:33" ht="60" x14ac:dyDescent="0.25">
      <c r="A32" s="3" t="s">
        <v>97</v>
      </c>
      <c r="B32" s="3" t="s">
        <v>98</v>
      </c>
      <c r="C32" s="3" t="s">
        <v>53</v>
      </c>
      <c r="D32" s="3"/>
      <c r="E32" s="4">
        <v>0</v>
      </c>
      <c r="F32" s="3" t="s">
        <v>24</v>
      </c>
      <c r="J32" s="3"/>
      <c r="M32" t="s">
        <v>21</v>
      </c>
      <c r="N32">
        <v>59</v>
      </c>
      <c r="V32" s="6">
        <v>86</v>
      </c>
      <c r="Y32">
        <v>0</v>
      </c>
      <c r="Z32">
        <v>0</v>
      </c>
      <c r="AB32">
        <f>H32/[1]Sheet1!$H$97</f>
        <v>0</v>
      </c>
      <c r="AD32" t="e">
        <f t="shared" si="1"/>
        <v>#VALUE!</v>
      </c>
      <c r="AG32">
        <f t="shared" si="0"/>
        <v>0</v>
      </c>
    </row>
    <row r="33" spans="1:33" ht="45" x14ac:dyDescent="0.25">
      <c r="A33" s="3" t="s">
        <v>99</v>
      </c>
      <c r="B33" s="3" t="s">
        <v>100</v>
      </c>
      <c r="C33" s="3" t="s">
        <v>2</v>
      </c>
      <c r="D33" s="3">
        <v>1</v>
      </c>
      <c r="E33" s="4">
        <v>1</v>
      </c>
      <c r="F33" s="3" t="s">
        <v>24</v>
      </c>
      <c r="J33" s="3"/>
      <c r="K33">
        <v>36</v>
      </c>
      <c r="L33" t="s">
        <v>29</v>
      </c>
      <c r="M33" t="s">
        <v>21</v>
      </c>
      <c r="N33">
        <v>79</v>
      </c>
      <c r="O33">
        <f>1593-12.418*N33+0.065*N33*N33</f>
        <v>1017.643</v>
      </c>
      <c r="P33">
        <f>1451-5.739*N33</f>
        <v>997.61900000000003</v>
      </c>
      <c r="Y33">
        <v>0</v>
      </c>
      <c r="Z33">
        <v>0</v>
      </c>
      <c r="AB33">
        <f>H33/[1]Sheet1!$H$97</f>
        <v>0</v>
      </c>
      <c r="AD33" t="e">
        <f t="shared" si="1"/>
        <v>#VALUE!</v>
      </c>
      <c r="AG33">
        <f t="shared" si="0"/>
        <v>0</v>
      </c>
    </row>
    <row r="34" spans="1:33" ht="75" x14ac:dyDescent="0.25">
      <c r="A34" s="3" t="s">
        <v>101</v>
      </c>
      <c r="B34" s="3" t="s">
        <v>47</v>
      </c>
      <c r="C34" s="3" t="s">
        <v>2</v>
      </c>
      <c r="D34" s="3"/>
      <c r="E34" s="4">
        <v>1</v>
      </c>
      <c r="F34" s="3" t="s">
        <v>24</v>
      </c>
      <c r="J34" s="3"/>
      <c r="M34" t="s">
        <v>21</v>
      </c>
      <c r="Y34">
        <v>0</v>
      </c>
      <c r="Z34">
        <v>0</v>
      </c>
      <c r="AB34">
        <f>H34/[1]Sheet1!$H$97</f>
        <v>0</v>
      </c>
      <c r="AD34" t="e">
        <f t="shared" si="1"/>
        <v>#VALUE!</v>
      </c>
      <c r="AG34">
        <f t="shared" si="0"/>
        <v>0</v>
      </c>
    </row>
    <row r="35" spans="1:33" ht="45" x14ac:dyDescent="0.25">
      <c r="A35" s="3" t="s">
        <v>102</v>
      </c>
      <c r="B35" s="3" t="s">
        <v>103</v>
      </c>
      <c r="C35" s="3" t="s">
        <v>2</v>
      </c>
      <c r="D35" s="3">
        <v>0</v>
      </c>
      <c r="E35" s="4">
        <v>1</v>
      </c>
      <c r="F35" s="3" t="s">
        <v>24</v>
      </c>
      <c r="G35">
        <v>2183</v>
      </c>
      <c r="H35">
        <v>2183</v>
      </c>
      <c r="I35">
        <v>2183</v>
      </c>
      <c r="J35" s="3"/>
      <c r="K35">
        <v>26</v>
      </c>
      <c r="L35" t="s">
        <v>83</v>
      </c>
      <c r="M35" t="s">
        <v>21</v>
      </c>
      <c r="N35">
        <v>47</v>
      </c>
      <c r="O35">
        <f>680+680</f>
        <v>1360</v>
      </c>
      <c r="P35">
        <f>680+680</f>
        <v>1360</v>
      </c>
      <c r="Q35">
        <f>680+680</f>
        <v>1360</v>
      </c>
      <c r="R35" t="s">
        <v>840</v>
      </c>
      <c r="S35" t="s">
        <v>84</v>
      </c>
      <c r="V35">
        <v>92</v>
      </c>
      <c r="W35">
        <v>85</v>
      </c>
      <c r="X35" t="s">
        <v>93</v>
      </c>
      <c r="Y35">
        <v>0.35967496357128753</v>
      </c>
      <c r="Z35">
        <v>0.36227386088306418</v>
      </c>
      <c r="AB35">
        <f>H35/[1]Sheet1!$H$97</f>
        <v>1.0937320583422392</v>
      </c>
      <c r="AD35" t="e">
        <f t="shared" si="1"/>
        <v>#VALUE!</v>
      </c>
      <c r="AG35">
        <f t="shared" si="0"/>
        <v>9.4191203829596688</v>
      </c>
    </row>
    <row r="36" spans="1:33" ht="45" x14ac:dyDescent="0.25">
      <c r="A36" s="3" t="s">
        <v>104</v>
      </c>
      <c r="B36" s="3" t="s">
        <v>88</v>
      </c>
      <c r="C36" s="3" t="s">
        <v>2</v>
      </c>
      <c r="D36" s="3"/>
      <c r="E36" s="4">
        <v>1</v>
      </c>
      <c r="F36" s="3" t="s">
        <v>24</v>
      </c>
      <c r="J36" s="3"/>
      <c r="M36" t="s">
        <v>21</v>
      </c>
      <c r="N36">
        <v>68</v>
      </c>
      <c r="V36">
        <v>68</v>
      </c>
      <c r="W36">
        <v>42</v>
      </c>
      <c r="X36" t="s">
        <v>105</v>
      </c>
      <c r="Y36">
        <v>0</v>
      </c>
      <c r="Z36">
        <v>0</v>
      </c>
      <c r="AB36">
        <f>H36/[1]Sheet1!$H$97</f>
        <v>0</v>
      </c>
      <c r="AD36" t="e">
        <f t="shared" si="1"/>
        <v>#VALUE!</v>
      </c>
      <c r="AG36">
        <f t="shared" si="0"/>
        <v>0</v>
      </c>
    </row>
    <row r="37" spans="1:33" ht="45" x14ac:dyDescent="0.25">
      <c r="A37" s="3" t="s">
        <v>106</v>
      </c>
      <c r="B37" s="3" t="s">
        <v>107</v>
      </c>
      <c r="C37" s="3" t="s">
        <v>2</v>
      </c>
      <c r="D37" s="3">
        <v>0</v>
      </c>
      <c r="E37" s="4">
        <v>1</v>
      </c>
      <c r="F37" s="3" t="s">
        <v>24</v>
      </c>
      <c r="J37" s="3"/>
      <c r="K37">
        <v>22</v>
      </c>
      <c r="L37" t="s">
        <v>108</v>
      </c>
      <c r="M37" t="s">
        <v>21</v>
      </c>
      <c r="S37" t="s">
        <v>95</v>
      </c>
      <c r="V37">
        <v>68</v>
      </c>
      <c r="W37">
        <v>34</v>
      </c>
      <c r="X37" t="s">
        <v>109</v>
      </c>
      <c r="Y37">
        <v>0</v>
      </c>
      <c r="Z37">
        <v>0</v>
      </c>
      <c r="AB37">
        <f>H37/[1]Sheet1!$H$97</f>
        <v>0</v>
      </c>
      <c r="AD37" t="e">
        <f t="shared" si="1"/>
        <v>#VALUE!</v>
      </c>
      <c r="AG37">
        <f t="shared" si="0"/>
        <v>0</v>
      </c>
    </row>
    <row r="38" spans="1:33" ht="60" x14ac:dyDescent="0.25">
      <c r="A38" s="3" t="s">
        <v>110</v>
      </c>
      <c r="B38" s="3" t="s">
        <v>47</v>
      </c>
      <c r="C38" s="3" t="s">
        <v>2</v>
      </c>
      <c r="D38" s="3">
        <v>0</v>
      </c>
      <c r="E38" s="4">
        <v>1</v>
      </c>
      <c r="F38" s="3" t="s">
        <v>44</v>
      </c>
      <c r="G38">
        <v>13204</v>
      </c>
      <c r="H38">
        <v>13204</v>
      </c>
      <c r="I38">
        <v>13204</v>
      </c>
      <c r="J38" s="3"/>
      <c r="K38">
        <v>30</v>
      </c>
      <c r="L38" t="s">
        <v>29</v>
      </c>
      <c r="M38" t="s">
        <v>21</v>
      </c>
      <c r="N38">
        <v>32</v>
      </c>
      <c r="O38">
        <v>1400</v>
      </c>
      <c r="P38">
        <v>1400</v>
      </c>
      <c r="Q38">
        <v>1400</v>
      </c>
      <c r="R38" t="s">
        <v>842</v>
      </c>
      <c r="S38" t="s">
        <v>841</v>
      </c>
      <c r="V38">
        <v>96</v>
      </c>
      <c r="W38">
        <v>79</v>
      </c>
      <c r="Y38">
        <v>2.175514530002419</v>
      </c>
      <c r="Z38">
        <v>2.1912341086119924</v>
      </c>
      <c r="AB38">
        <f>H38/[1]Sheet1!$H$97</f>
        <v>6.6155007321809096</v>
      </c>
      <c r="AD38" t="e">
        <f t="shared" si="1"/>
        <v>#VALUE!</v>
      </c>
      <c r="AG38">
        <f t="shared" si="0"/>
        <v>65.73702325835977</v>
      </c>
    </row>
    <row r="39" spans="1:33" ht="75" x14ac:dyDescent="0.25">
      <c r="A39" s="3" t="s">
        <v>111</v>
      </c>
      <c r="B39" s="3" t="s">
        <v>112</v>
      </c>
      <c r="C39" s="3"/>
      <c r="D39" s="3"/>
      <c r="E39" s="3"/>
      <c r="F39" s="3"/>
      <c r="J39" s="3"/>
      <c r="M39" t="s">
        <v>21</v>
      </c>
      <c r="V39" s="5">
        <v>96</v>
      </c>
      <c r="W39" s="5">
        <v>94</v>
      </c>
      <c r="X39" s="8" t="s">
        <v>113</v>
      </c>
      <c r="Y39">
        <v>0</v>
      </c>
      <c r="Z39">
        <v>0</v>
      </c>
      <c r="AB39">
        <f>H39/[1]Sheet1!$H$97</f>
        <v>0</v>
      </c>
      <c r="AD39" t="e">
        <f t="shared" si="1"/>
        <v>#VALUE!</v>
      </c>
      <c r="AG39">
        <f t="shared" si="0"/>
        <v>0</v>
      </c>
    </row>
    <row r="40" spans="1:33" ht="45" x14ac:dyDescent="0.25">
      <c r="A40" s="3" t="s">
        <v>114</v>
      </c>
      <c r="B40" s="3" t="s">
        <v>43</v>
      </c>
      <c r="C40" s="3" t="s">
        <v>2</v>
      </c>
      <c r="D40" s="3">
        <v>0</v>
      </c>
      <c r="E40" s="4">
        <v>1</v>
      </c>
      <c r="F40" s="3" t="s">
        <v>24</v>
      </c>
      <c r="J40" s="3"/>
      <c r="K40">
        <v>15</v>
      </c>
      <c r="L40" t="s">
        <v>108</v>
      </c>
      <c r="M40" t="s">
        <v>21</v>
      </c>
      <c r="N40">
        <v>64</v>
      </c>
      <c r="O40">
        <f>1593-12.418*N40+0.065*N40*N40</f>
        <v>1064.4880000000001</v>
      </c>
      <c r="P40">
        <f>1451-5.739*N40</f>
        <v>1083.704</v>
      </c>
      <c r="Y40">
        <v>0</v>
      </c>
      <c r="Z40">
        <v>0</v>
      </c>
      <c r="AB40">
        <f>H40/[1]Sheet1!$H$97</f>
        <v>0</v>
      </c>
      <c r="AD40" t="e">
        <f t="shared" si="1"/>
        <v>#VALUE!</v>
      </c>
      <c r="AG40">
        <f t="shared" si="0"/>
        <v>0</v>
      </c>
    </row>
    <row r="41" spans="1:33" ht="45" x14ac:dyDescent="0.25">
      <c r="A41" s="3" t="s">
        <v>115</v>
      </c>
      <c r="B41" s="3" t="s">
        <v>116</v>
      </c>
      <c r="C41" s="3" t="s">
        <v>2</v>
      </c>
      <c r="D41" s="3">
        <v>1</v>
      </c>
      <c r="E41" s="4">
        <v>1</v>
      </c>
      <c r="F41" s="3" t="s">
        <v>70</v>
      </c>
      <c r="J41" s="3"/>
      <c r="K41">
        <v>36</v>
      </c>
      <c r="L41" t="s">
        <v>29</v>
      </c>
      <c r="M41" t="s">
        <v>21</v>
      </c>
      <c r="Y41">
        <v>0</v>
      </c>
      <c r="Z41">
        <v>0</v>
      </c>
      <c r="AB41">
        <f>H41/[1]Sheet1!$H$97</f>
        <v>0</v>
      </c>
      <c r="AD41" t="e">
        <f t="shared" si="1"/>
        <v>#VALUE!</v>
      </c>
      <c r="AG41">
        <f t="shared" si="0"/>
        <v>0</v>
      </c>
    </row>
    <row r="42" spans="1:33" ht="60" x14ac:dyDescent="0.25">
      <c r="A42" s="3" t="s">
        <v>117</v>
      </c>
      <c r="B42" s="3" t="s">
        <v>118</v>
      </c>
      <c r="C42" s="3" t="s">
        <v>53</v>
      </c>
      <c r="D42" s="3">
        <v>0</v>
      </c>
      <c r="E42" s="4">
        <v>0</v>
      </c>
      <c r="F42" s="3" t="s">
        <v>70</v>
      </c>
      <c r="G42">
        <v>5894</v>
      </c>
      <c r="H42" t="s">
        <v>28</v>
      </c>
      <c r="I42" t="s">
        <v>28</v>
      </c>
      <c r="J42" s="3"/>
      <c r="K42">
        <v>44</v>
      </c>
      <c r="L42" t="s">
        <v>29</v>
      </c>
      <c r="M42" t="s">
        <v>21</v>
      </c>
      <c r="N42">
        <v>72</v>
      </c>
      <c r="O42">
        <f>1593-12.418*N42+0.065*N42*N42</f>
        <v>1035.864</v>
      </c>
      <c r="P42">
        <f>1451-5.739*N42</f>
        <v>1037.7919999999999</v>
      </c>
      <c r="Y42" t="s">
        <v>28</v>
      </c>
      <c r="Z42" t="s">
        <v>28</v>
      </c>
      <c r="AB42" t="e">
        <f>H42/[1]Sheet1!$H$97</f>
        <v>#VALUE!</v>
      </c>
      <c r="AD42" t="e">
        <f t="shared" si="1"/>
        <v>#VALUE!</v>
      </c>
      <c r="AG42" t="s">
        <v>28</v>
      </c>
    </row>
    <row r="43" spans="1:33" ht="45" x14ac:dyDescent="0.25">
      <c r="A43" s="3" t="s">
        <v>119</v>
      </c>
      <c r="B43" s="3" t="s">
        <v>47</v>
      </c>
      <c r="C43" s="3" t="s">
        <v>2</v>
      </c>
      <c r="D43" s="3">
        <v>0</v>
      </c>
      <c r="E43" s="4">
        <v>1</v>
      </c>
      <c r="F43" s="3" t="s">
        <v>70</v>
      </c>
      <c r="G43">
        <v>2060</v>
      </c>
      <c r="H43" t="s">
        <v>28</v>
      </c>
      <c r="I43" t="s">
        <v>28</v>
      </c>
      <c r="J43" s="3"/>
      <c r="K43">
        <v>27</v>
      </c>
      <c r="L43" t="s">
        <v>120</v>
      </c>
      <c r="M43" t="s">
        <v>21</v>
      </c>
      <c r="N43">
        <v>49</v>
      </c>
      <c r="O43">
        <f>1593-12.418*N43+0.065*N43*N43</f>
        <v>1140.5830000000001</v>
      </c>
      <c r="P43">
        <f>1451-5.739*N43</f>
        <v>1169.789</v>
      </c>
      <c r="Y43" t="s">
        <v>28</v>
      </c>
      <c r="Z43" t="s">
        <v>28</v>
      </c>
      <c r="AB43" t="e">
        <f>H43/[1]Sheet1!$H$97</f>
        <v>#VALUE!</v>
      </c>
      <c r="AD43" t="e">
        <f t="shared" si="1"/>
        <v>#VALUE!</v>
      </c>
      <c r="AG43" t="s">
        <v>28</v>
      </c>
    </row>
    <row r="44" spans="1:33" ht="45" x14ac:dyDescent="0.25">
      <c r="A44" s="3" t="s">
        <v>121</v>
      </c>
      <c r="B44" s="3" t="s">
        <v>122</v>
      </c>
      <c r="C44" s="3" t="s">
        <v>2</v>
      </c>
      <c r="D44" s="3">
        <v>0</v>
      </c>
      <c r="E44" s="4">
        <v>1</v>
      </c>
      <c r="F44" s="3" t="s">
        <v>24</v>
      </c>
      <c r="G44">
        <v>2600</v>
      </c>
      <c r="H44">
        <v>2600</v>
      </c>
      <c r="I44">
        <v>2600</v>
      </c>
      <c r="J44" s="3"/>
      <c r="K44">
        <v>30</v>
      </c>
      <c r="L44" t="s">
        <v>84</v>
      </c>
      <c r="M44" t="s">
        <v>21</v>
      </c>
      <c r="N44">
        <v>43</v>
      </c>
      <c r="O44">
        <f>1593-12.418*N44+0.065*N44*N44</f>
        <v>1179.211</v>
      </c>
      <c r="P44">
        <f>1451-5.739*N44</f>
        <v>1204.223</v>
      </c>
      <c r="T44">
        <v>-1</v>
      </c>
      <c r="U44">
        <v>-1</v>
      </c>
      <c r="V44" s="5">
        <v>94</v>
      </c>
      <c r="W44" s="5">
        <v>86</v>
      </c>
      <c r="X44" s="5" t="s">
        <v>123</v>
      </c>
      <c r="Y44">
        <v>0.42838062541701671</v>
      </c>
      <c r="Z44">
        <v>0.4314759680696138</v>
      </c>
      <c r="AB44">
        <f>H44/[1]Sheet1!$H$97</f>
        <v>1.3026584295418333</v>
      </c>
      <c r="AD44" t="e">
        <f t="shared" si="1"/>
        <v>#VALUE!</v>
      </c>
      <c r="AG44">
        <f>K44*Z44</f>
        <v>12.944279042088414</v>
      </c>
    </row>
    <row r="45" spans="1:33" ht="45" x14ac:dyDescent="0.25">
      <c r="A45" s="3" t="s">
        <v>124</v>
      </c>
      <c r="B45" s="3" t="s">
        <v>18</v>
      </c>
      <c r="C45" s="3" t="s">
        <v>2</v>
      </c>
      <c r="D45" s="3">
        <v>0</v>
      </c>
      <c r="E45" s="4">
        <v>1</v>
      </c>
      <c r="F45" s="3" t="s">
        <v>70</v>
      </c>
      <c r="G45">
        <v>3621</v>
      </c>
      <c r="H45" t="s">
        <v>28</v>
      </c>
      <c r="I45" t="s">
        <v>28</v>
      </c>
      <c r="J45" s="3"/>
      <c r="K45">
        <v>47</v>
      </c>
      <c r="L45" t="s">
        <v>29</v>
      </c>
      <c r="M45" t="s">
        <v>21</v>
      </c>
      <c r="N45">
        <v>70</v>
      </c>
      <c r="O45">
        <f>1593-12.418*N45+0.065*N45*N45</f>
        <v>1042.24</v>
      </c>
      <c r="P45">
        <f>1451-5.739*N45</f>
        <v>1049.27</v>
      </c>
      <c r="Y45" t="s">
        <v>28</v>
      </c>
      <c r="Z45" t="s">
        <v>28</v>
      </c>
      <c r="AB45" t="e">
        <f>H45/[1]Sheet1!$H$97</f>
        <v>#VALUE!</v>
      </c>
      <c r="AD45" t="e">
        <f t="shared" si="1"/>
        <v>#VALUE!</v>
      </c>
      <c r="AG45" t="s">
        <v>28</v>
      </c>
    </row>
    <row r="46" spans="1:33" ht="45" x14ac:dyDescent="0.25">
      <c r="A46" s="3" t="s">
        <v>125</v>
      </c>
      <c r="B46" s="3" t="s">
        <v>126</v>
      </c>
      <c r="C46" s="3" t="s">
        <v>2</v>
      </c>
      <c r="D46" s="3">
        <v>1</v>
      </c>
      <c r="E46" s="4">
        <v>1</v>
      </c>
      <c r="F46" s="3" t="s">
        <v>24</v>
      </c>
      <c r="G46">
        <v>2600</v>
      </c>
      <c r="H46">
        <v>2600</v>
      </c>
      <c r="I46">
        <v>2600</v>
      </c>
      <c r="J46" s="3"/>
      <c r="K46">
        <v>37</v>
      </c>
      <c r="L46" t="s">
        <v>29</v>
      </c>
      <c r="M46" t="s">
        <v>21</v>
      </c>
      <c r="N46">
        <v>71</v>
      </c>
      <c r="O46">
        <v>1130</v>
      </c>
      <c r="P46">
        <v>1130</v>
      </c>
      <c r="Q46">
        <v>1130</v>
      </c>
      <c r="R46" t="s">
        <v>844</v>
      </c>
      <c r="S46" t="s">
        <v>843</v>
      </c>
      <c r="V46" s="6">
        <v>90</v>
      </c>
      <c r="W46" s="6">
        <v>81</v>
      </c>
      <c r="X46" s="6" t="s">
        <v>127</v>
      </c>
      <c r="Y46">
        <v>0.42838062541701671</v>
      </c>
      <c r="Z46">
        <v>0.4314759680696138</v>
      </c>
      <c r="AB46">
        <f>H46/[1]Sheet1!$H$97</f>
        <v>1.3026584295418333</v>
      </c>
      <c r="AD46" t="e">
        <f t="shared" si="1"/>
        <v>#VALUE!</v>
      </c>
      <c r="AG46">
        <f t="shared" ref="AG46:AG59" si="2">K46*Z46</f>
        <v>15.964610818575711</v>
      </c>
    </row>
    <row r="47" spans="1:33" ht="45" x14ac:dyDescent="0.25">
      <c r="A47" s="3" t="s">
        <v>128</v>
      </c>
      <c r="B47" s="3" t="s">
        <v>47</v>
      </c>
      <c r="C47" s="3" t="s">
        <v>2</v>
      </c>
      <c r="D47" s="3">
        <v>0</v>
      </c>
      <c r="E47" s="4">
        <v>1</v>
      </c>
      <c r="F47" s="3" t="s">
        <v>44</v>
      </c>
      <c r="G47">
        <v>10192</v>
      </c>
      <c r="H47">
        <v>10192</v>
      </c>
      <c r="I47">
        <v>10192</v>
      </c>
      <c r="J47" s="3"/>
      <c r="K47">
        <v>27</v>
      </c>
      <c r="L47" t="s">
        <v>29</v>
      </c>
      <c r="M47" t="s">
        <v>21</v>
      </c>
      <c r="N47">
        <v>83</v>
      </c>
      <c r="O47" s="41">
        <f>500+514</f>
        <v>1014</v>
      </c>
      <c r="P47" s="41">
        <f>500+514</f>
        <v>1014</v>
      </c>
      <c r="Q47" s="41">
        <f>500+514</f>
        <v>1014</v>
      </c>
      <c r="R47" s="41" t="s">
        <v>1132</v>
      </c>
      <c r="S47" t="s">
        <v>845</v>
      </c>
      <c r="V47" s="6">
        <v>76</v>
      </c>
      <c r="W47" s="6">
        <v>57</v>
      </c>
      <c r="X47" s="6" t="s">
        <v>129</v>
      </c>
      <c r="Y47">
        <v>1.6792520516347056</v>
      </c>
      <c r="Z47">
        <v>1.6913857948328861</v>
      </c>
      <c r="AB47">
        <f>H47/[1]Sheet1!$H$97</f>
        <v>5.1064210438039863</v>
      </c>
      <c r="AD47" t="e">
        <f t="shared" si="1"/>
        <v>#VALUE!</v>
      </c>
      <c r="AG47">
        <f t="shared" si="2"/>
        <v>45.667416460487928</v>
      </c>
    </row>
    <row r="48" spans="1:33" ht="45" x14ac:dyDescent="0.25">
      <c r="A48" s="3" t="s">
        <v>130</v>
      </c>
      <c r="B48" s="3" t="s">
        <v>131</v>
      </c>
      <c r="C48" s="3" t="s">
        <v>2</v>
      </c>
      <c r="D48" s="3">
        <v>0</v>
      </c>
      <c r="E48" s="4">
        <v>1</v>
      </c>
      <c r="F48" s="3" t="s">
        <v>44</v>
      </c>
      <c r="G48">
        <v>5186</v>
      </c>
      <c r="H48">
        <v>5186</v>
      </c>
      <c r="I48">
        <v>5186</v>
      </c>
      <c r="J48" s="3"/>
      <c r="K48">
        <v>17</v>
      </c>
      <c r="L48" t="s">
        <v>29</v>
      </c>
      <c r="M48" t="s">
        <v>21</v>
      </c>
      <c r="N48">
        <v>19</v>
      </c>
      <c r="O48" s="41">
        <f>723+713</f>
        <v>1436</v>
      </c>
      <c r="P48" s="41">
        <f>723+713</f>
        <v>1436</v>
      </c>
      <c r="Q48" s="41">
        <f>723+713</f>
        <v>1436</v>
      </c>
      <c r="R48" s="41" t="s">
        <v>1133</v>
      </c>
      <c r="S48" t="s">
        <v>846</v>
      </c>
      <c r="V48" s="5">
        <v>96</v>
      </c>
      <c r="W48" s="5">
        <v>92</v>
      </c>
      <c r="X48" s="5" t="s">
        <v>132</v>
      </c>
      <c r="Y48">
        <v>0.85445458592794188</v>
      </c>
      <c r="Z48">
        <v>0.86062860400346819</v>
      </c>
      <c r="AB48">
        <f>H48/[1]Sheet1!$H$97</f>
        <v>2.5983025444630568</v>
      </c>
      <c r="AD48" t="e">
        <f t="shared" si="1"/>
        <v>#VALUE!</v>
      </c>
      <c r="AG48">
        <f t="shared" si="2"/>
        <v>14.630686268058959</v>
      </c>
    </row>
    <row r="49" spans="1:33" ht="75" x14ac:dyDescent="0.25">
      <c r="A49" s="3" t="s">
        <v>133</v>
      </c>
      <c r="B49" s="3" t="s">
        <v>23</v>
      </c>
      <c r="C49" s="3" t="s">
        <v>53</v>
      </c>
      <c r="D49" s="3">
        <v>0</v>
      </c>
      <c r="E49" s="4">
        <v>0</v>
      </c>
      <c r="F49" s="3" t="s">
        <v>44</v>
      </c>
      <c r="G49">
        <v>21373</v>
      </c>
      <c r="H49">
        <v>21373</v>
      </c>
      <c r="I49">
        <v>21373</v>
      </c>
      <c r="J49" s="3"/>
      <c r="K49">
        <v>40</v>
      </c>
      <c r="L49" t="s">
        <v>134</v>
      </c>
      <c r="M49" t="s">
        <v>21</v>
      </c>
      <c r="N49">
        <v>63</v>
      </c>
      <c r="O49">
        <v>1225</v>
      </c>
      <c r="P49">
        <v>1225</v>
      </c>
      <c r="Q49">
        <v>1225</v>
      </c>
      <c r="R49" t="s">
        <v>847</v>
      </c>
      <c r="V49">
        <v>88</v>
      </c>
      <c r="W49">
        <v>70</v>
      </c>
      <c r="Y49">
        <v>3.5214535027068843</v>
      </c>
      <c r="Z49">
        <v>3.5468984098276368</v>
      </c>
      <c r="AB49">
        <f>H49/[1]Sheet1!$H$97</f>
        <v>10.70835331330677</v>
      </c>
      <c r="AD49" t="e">
        <f t="shared" si="1"/>
        <v>#VALUE!</v>
      </c>
      <c r="AG49">
        <f t="shared" si="2"/>
        <v>141.87593639310546</v>
      </c>
    </row>
    <row r="50" spans="1:33" ht="75" x14ac:dyDescent="0.25">
      <c r="A50" s="3" t="s">
        <v>135</v>
      </c>
      <c r="B50" s="3" t="s">
        <v>47</v>
      </c>
      <c r="C50" s="3" t="s">
        <v>53</v>
      </c>
      <c r="D50" s="3">
        <v>0</v>
      </c>
      <c r="E50" s="4">
        <v>0</v>
      </c>
      <c r="F50" s="3" t="s">
        <v>44</v>
      </c>
      <c r="G50">
        <v>12700</v>
      </c>
      <c r="H50">
        <v>12700</v>
      </c>
      <c r="I50">
        <v>12700</v>
      </c>
      <c r="J50" s="3"/>
      <c r="K50">
        <v>43</v>
      </c>
      <c r="L50" t="s">
        <v>95</v>
      </c>
      <c r="M50" t="s">
        <v>21</v>
      </c>
      <c r="N50">
        <v>70</v>
      </c>
      <c r="O50">
        <v>1062</v>
      </c>
      <c r="P50">
        <v>1062</v>
      </c>
      <c r="Q50">
        <v>1062</v>
      </c>
      <c r="R50" t="s">
        <v>849</v>
      </c>
      <c r="S50" t="s">
        <v>848</v>
      </c>
      <c r="V50">
        <v>79</v>
      </c>
      <c r="W50">
        <v>42</v>
      </c>
      <c r="X50" t="s">
        <v>136</v>
      </c>
      <c r="Y50">
        <v>2.0924745933831201</v>
      </c>
      <c r="Z50">
        <v>2.1075941517246521</v>
      </c>
      <c r="AB50">
        <f>H50/[1]Sheet1!$H$97</f>
        <v>6.3629854058389546</v>
      </c>
      <c r="AD50" t="e">
        <f t="shared" si="1"/>
        <v>#VALUE!</v>
      </c>
      <c r="AG50">
        <f t="shared" si="2"/>
        <v>90.626548524160043</v>
      </c>
    </row>
    <row r="51" spans="1:33" ht="90" x14ac:dyDescent="0.25">
      <c r="A51" s="3" t="s">
        <v>137</v>
      </c>
      <c r="B51" s="3" t="s">
        <v>138</v>
      </c>
      <c r="C51" s="3" t="s">
        <v>53</v>
      </c>
      <c r="D51" s="3">
        <v>0</v>
      </c>
      <c r="E51" s="4">
        <v>0</v>
      </c>
      <c r="F51" s="3" t="s">
        <v>70</v>
      </c>
      <c r="G51">
        <v>7749</v>
      </c>
      <c r="H51">
        <v>7749</v>
      </c>
      <c r="I51">
        <v>7749</v>
      </c>
      <c r="J51" s="3"/>
      <c r="K51">
        <v>47</v>
      </c>
      <c r="L51" t="s">
        <v>29</v>
      </c>
      <c r="M51" t="s">
        <v>21</v>
      </c>
      <c r="N51">
        <v>75</v>
      </c>
      <c r="O51">
        <v>1029</v>
      </c>
      <c r="P51">
        <v>1029</v>
      </c>
      <c r="Q51">
        <v>1029</v>
      </c>
      <c r="R51" t="s">
        <v>851</v>
      </c>
      <c r="S51" t="s">
        <v>850</v>
      </c>
      <c r="V51">
        <v>74</v>
      </c>
      <c r="W51">
        <v>50</v>
      </c>
      <c r="Y51">
        <v>1.2767390255217164</v>
      </c>
      <c r="Z51">
        <v>1.2859643371428606</v>
      </c>
      <c r="AB51">
        <f>H51/[1]Sheet1!$H$97</f>
        <v>3.8824231425075637</v>
      </c>
      <c r="AD51" t="e">
        <f t="shared" si="1"/>
        <v>#VALUE!</v>
      </c>
      <c r="AG51">
        <f t="shared" si="2"/>
        <v>60.440323845714452</v>
      </c>
    </row>
    <row r="52" spans="1:33" ht="75" x14ac:dyDescent="0.25">
      <c r="A52" s="3" t="s">
        <v>139</v>
      </c>
      <c r="B52" s="3" t="s">
        <v>140</v>
      </c>
      <c r="C52" s="3" t="s">
        <v>53</v>
      </c>
      <c r="D52" s="3">
        <v>0</v>
      </c>
      <c r="E52" s="4">
        <v>0</v>
      </c>
      <c r="F52" s="3" t="s">
        <v>44</v>
      </c>
      <c r="G52">
        <v>17184</v>
      </c>
      <c r="H52">
        <v>17184</v>
      </c>
      <c r="I52">
        <v>17184</v>
      </c>
      <c r="J52" s="3"/>
      <c r="K52">
        <v>31</v>
      </c>
      <c r="L52" t="s">
        <v>95</v>
      </c>
      <c r="M52" t="s">
        <v>21</v>
      </c>
      <c r="N52">
        <v>64</v>
      </c>
      <c r="O52" s="40">
        <f>570+600</f>
        <v>1170</v>
      </c>
      <c r="P52" s="40">
        <f>570+600</f>
        <v>1170</v>
      </c>
      <c r="Q52" s="40">
        <f>570+600</f>
        <v>1170</v>
      </c>
      <c r="R52" s="40" t="s">
        <v>852</v>
      </c>
      <c r="V52">
        <v>79</v>
      </c>
      <c r="W52">
        <v>54</v>
      </c>
      <c r="Y52">
        <v>2.8312664104484675</v>
      </c>
      <c r="Z52">
        <v>2.8517242443493243</v>
      </c>
      <c r="AB52">
        <f>H52/[1]Sheet1!$H$97</f>
        <v>8.6095701743257163</v>
      </c>
      <c r="AD52" t="e">
        <f t="shared" si="1"/>
        <v>#VALUE!</v>
      </c>
      <c r="AG52">
        <f t="shared" si="2"/>
        <v>88.403451574829049</v>
      </c>
    </row>
    <row r="53" spans="1:33" ht="45" x14ac:dyDescent="0.25">
      <c r="A53" s="3" t="s">
        <v>141</v>
      </c>
      <c r="B53" s="3" t="s">
        <v>142</v>
      </c>
      <c r="C53" s="3" t="s">
        <v>2</v>
      </c>
      <c r="D53" s="3">
        <v>0</v>
      </c>
      <c r="E53" s="4">
        <v>1</v>
      </c>
      <c r="F53" s="3" t="s">
        <v>24</v>
      </c>
      <c r="G53">
        <v>2474</v>
      </c>
      <c r="H53">
        <v>2474</v>
      </c>
      <c r="I53">
        <v>2474</v>
      </c>
      <c r="J53" s="3"/>
      <c r="K53">
        <v>39</v>
      </c>
      <c r="L53" t="s">
        <v>29</v>
      </c>
      <c r="M53" t="s">
        <v>21</v>
      </c>
      <c r="N53">
        <v>29</v>
      </c>
      <c r="O53" s="42">
        <v>1402</v>
      </c>
      <c r="P53" s="42">
        <v>1402</v>
      </c>
      <c r="Q53" s="42">
        <v>1402</v>
      </c>
      <c r="R53" s="42" t="s">
        <v>853</v>
      </c>
      <c r="V53" s="5">
        <v>97</v>
      </c>
      <c r="W53" s="5">
        <v>91</v>
      </c>
      <c r="X53" s="5" t="s">
        <v>143</v>
      </c>
      <c r="Y53">
        <v>0.40762064126219205</v>
      </c>
      <c r="Z53">
        <v>0.41056597884777868</v>
      </c>
      <c r="AB53">
        <f>H53/[1]Sheet1!$H$97</f>
        <v>1.2395295979563443</v>
      </c>
      <c r="AD53" t="e">
        <f t="shared" si="1"/>
        <v>#VALUE!</v>
      </c>
      <c r="AG53">
        <f t="shared" si="2"/>
        <v>16.012073175063367</v>
      </c>
    </row>
    <row r="54" spans="1:33" ht="75" x14ac:dyDescent="0.25">
      <c r="A54" s="3" t="s">
        <v>144</v>
      </c>
      <c r="B54" s="3" t="s">
        <v>18</v>
      </c>
      <c r="C54" s="3" t="s">
        <v>2</v>
      </c>
      <c r="D54" s="3">
        <v>0</v>
      </c>
      <c r="E54" s="4">
        <v>1</v>
      </c>
      <c r="F54" s="3" t="s">
        <v>70</v>
      </c>
      <c r="G54">
        <v>2520</v>
      </c>
      <c r="H54">
        <v>2520</v>
      </c>
      <c r="I54">
        <v>2520</v>
      </c>
      <c r="J54" s="3"/>
      <c r="K54">
        <v>52</v>
      </c>
      <c r="L54" t="s">
        <v>29</v>
      </c>
      <c r="M54" t="s">
        <v>21</v>
      </c>
      <c r="N54">
        <v>82</v>
      </c>
      <c r="O54">
        <v>1066</v>
      </c>
      <c r="P54">
        <v>1066</v>
      </c>
      <c r="Q54">
        <v>1066</v>
      </c>
      <c r="R54" t="s">
        <v>854</v>
      </c>
      <c r="V54">
        <v>73</v>
      </c>
      <c r="W54">
        <v>62</v>
      </c>
      <c r="Y54">
        <v>0.41519968309649313</v>
      </c>
      <c r="Z54">
        <v>0.41819978443670258</v>
      </c>
      <c r="AB54">
        <f>H54/[1]Sheet1!$H$97</f>
        <v>1.2625766317097769</v>
      </c>
      <c r="AD54" t="e">
        <f t="shared" si="1"/>
        <v>#VALUE!</v>
      </c>
      <c r="AG54">
        <f t="shared" si="2"/>
        <v>21.746388790708533</v>
      </c>
    </row>
    <row r="55" spans="1:33" ht="60" x14ac:dyDescent="0.25">
      <c r="A55" s="3" t="s">
        <v>145</v>
      </c>
      <c r="B55" s="3" t="s">
        <v>146</v>
      </c>
      <c r="C55" s="3" t="s">
        <v>53</v>
      </c>
      <c r="D55" s="3">
        <v>0</v>
      </c>
      <c r="E55" s="4">
        <v>0</v>
      </c>
      <c r="F55" s="3" t="s">
        <v>70</v>
      </c>
      <c r="G55">
        <v>5500</v>
      </c>
      <c r="H55">
        <v>5500</v>
      </c>
      <c r="I55">
        <v>5500</v>
      </c>
      <c r="J55" s="3"/>
      <c r="K55">
        <v>37</v>
      </c>
      <c r="L55" t="s">
        <v>134</v>
      </c>
      <c r="M55" t="s">
        <v>21</v>
      </c>
      <c r="N55">
        <v>75</v>
      </c>
      <c r="O55" s="43">
        <v>1010</v>
      </c>
      <c r="P55" s="43">
        <v>1010</v>
      </c>
      <c r="Q55" s="43">
        <v>1010</v>
      </c>
      <c r="R55" s="43" t="s">
        <v>855</v>
      </c>
      <c r="V55">
        <v>81</v>
      </c>
      <c r="W55">
        <v>60</v>
      </c>
      <c r="Y55">
        <v>0.90618978453599697</v>
      </c>
      <c r="Z55">
        <v>0.91273762476264453</v>
      </c>
      <c r="AB55">
        <f>H55/[1]Sheet1!$H$97</f>
        <v>2.7556236009538781</v>
      </c>
      <c r="AD55" t="e">
        <f t="shared" si="1"/>
        <v>#VALUE!</v>
      </c>
      <c r="AG55">
        <f t="shared" si="2"/>
        <v>33.77129211621785</v>
      </c>
    </row>
    <row r="56" spans="1:33" ht="45" x14ac:dyDescent="0.25">
      <c r="A56" s="3" t="s">
        <v>147</v>
      </c>
      <c r="B56" s="3" t="s">
        <v>148</v>
      </c>
      <c r="C56" s="3" t="s">
        <v>2</v>
      </c>
      <c r="D56" s="3">
        <v>0</v>
      </c>
      <c r="E56" s="4">
        <v>1</v>
      </c>
      <c r="F56" s="3" t="s">
        <v>24</v>
      </c>
      <c r="G56">
        <v>1600</v>
      </c>
      <c r="H56" t="s">
        <v>28</v>
      </c>
      <c r="I56">
        <v>1600</v>
      </c>
      <c r="J56" s="3"/>
      <c r="K56">
        <v>28</v>
      </c>
      <c r="L56" t="s">
        <v>29</v>
      </c>
      <c r="M56" t="s">
        <v>21</v>
      </c>
      <c r="N56">
        <v>74</v>
      </c>
      <c r="O56">
        <f>1593-12.418*N56+0.065*N56*N56</f>
        <v>1030.0080000000003</v>
      </c>
      <c r="P56">
        <f>1451-5.739*N56</f>
        <v>1026.3140000000001</v>
      </c>
      <c r="U56">
        <v>-1</v>
      </c>
      <c r="W56" s="6">
        <v>75</v>
      </c>
      <c r="X56" s="6" t="s">
        <v>149</v>
      </c>
      <c r="Y56" t="s">
        <v>28</v>
      </c>
      <c r="Z56">
        <v>0.26552367265822385</v>
      </c>
      <c r="AB56" t="e">
        <f>H56/[1]Sheet1!$H$97</f>
        <v>#VALUE!</v>
      </c>
      <c r="AD56" t="e">
        <f t="shared" si="1"/>
        <v>#VALUE!</v>
      </c>
      <c r="AG56">
        <f t="shared" si="2"/>
        <v>7.4346628344302683</v>
      </c>
    </row>
    <row r="57" spans="1:33" ht="30" x14ac:dyDescent="0.25">
      <c r="A57" s="3" t="s">
        <v>150</v>
      </c>
      <c r="B57" s="3" t="s">
        <v>47</v>
      </c>
      <c r="C57" s="3" t="s">
        <v>2</v>
      </c>
      <c r="D57" s="3">
        <v>0</v>
      </c>
      <c r="E57" s="4">
        <v>1</v>
      </c>
      <c r="F57" s="3" t="s">
        <v>151</v>
      </c>
      <c r="G57">
        <v>869</v>
      </c>
      <c r="H57">
        <v>869</v>
      </c>
      <c r="I57">
        <v>869</v>
      </c>
      <c r="J57" s="3"/>
      <c r="K57">
        <v>29</v>
      </c>
      <c r="L57" t="s">
        <v>29</v>
      </c>
      <c r="M57" t="s">
        <v>21</v>
      </c>
      <c r="N57">
        <v>73</v>
      </c>
      <c r="O57" s="41">
        <f>476+460</f>
        <v>936</v>
      </c>
      <c r="P57" s="41">
        <f>476+460</f>
        <v>936</v>
      </c>
      <c r="Q57" s="41">
        <f>476+460</f>
        <v>936</v>
      </c>
      <c r="R57" s="41" t="s">
        <v>1134</v>
      </c>
      <c r="S57" t="s">
        <v>963</v>
      </c>
      <c r="V57" s="6">
        <v>66</v>
      </c>
      <c r="W57" s="6">
        <v>54</v>
      </c>
      <c r="X57" s="6" t="s">
        <v>152</v>
      </c>
      <c r="Y57">
        <v>0.14317798595668751</v>
      </c>
      <c r="Z57">
        <v>0.14421254471249784</v>
      </c>
      <c r="AB57">
        <f>H57/[1]Sheet1!$H$97</f>
        <v>0.43538852895071273</v>
      </c>
      <c r="AD57" t="e">
        <f t="shared" si="1"/>
        <v>#VALUE!</v>
      </c>
      <c r="AG57">
        <f t="shared" si="2"/>
        <v>4.1821637966624374</v>
      </c>
    </row>
    <row r="58" spans="1:33" ht="45" x14ac:dyDescent="0.25">
      <c r="A58" s="3" t="s">
        <v>153</v>
      </c>
      <c r="B58" s="3" t="s">
        <v>154</v>
      </c>
      <c r="C58" s="3" t="s">
        <v>2</v>
      </c>
      <c r="D58" s="3">
        <v>0</v>
      </c>
      <c r="E58" s="4">
        <v>1</v>
      </c>
      <c r="F58" s="3" t="s">
        <v>24</v>
      </c>
      <c r="G58">
        <v>2052</v>
      </c>
      <c r="H58">
        <v>2052</v>
      </c>
      <c r="I58">
        <v>2052</v>
      </c>
      <c r="J58" s="3"/>
      <c r="K58">
        <v>44</v>
      </c>
      <c r="L58" t="s">
        <v>29</v>
      </c>
      <c r="M58" t="s">
        <v>21</v>
      </c>
      <c r="N58">
        <v>18</v>
      </c>
      <c r="O58" s="41">
        <f>723+713</f>
        <v>1436</v>
      </c>
      <c r="P58" s="41">
        <f>723+713</f>
        <v>1436</v>
      </c>
      <c r="Q58" s="41">
        <f>723+713</f>
        <v>1436</v>
      </c>
      <c r="R58" s="41" t="s">
        <v>1133</v>
      </c>
      <c r="S58" t="s">
        <v>856</v>
      </c>
      <c r="V58" s="6">
        <v>96</v>
      </c>
      <c r="W58" s="6">
        <v>94</v>
      </c>
      <c r="X58" s="6" t="s">
        <v>155</v>
      </c>
      <c r="Y58">
        <v>0.33809117052143012</v>
      </c>
      <c r="Z58">
        <v>0.34053411018417212</v>
      </c>
      <c r="AB58">
        <f>H58/[1]Sheet1!$H$97</f>
        <v>1.0280981143922467</v>
      </c>
      <c r="AD58" t="e">
        <f t="shared" si="1"/>
        <v>#VALUE!</v>
      </c>
      <c r="AG58">
        <f t="shared" si="2"/>
        <v>14.983500848103574</v>
      </c>
    </row>
    <row r="59" spans="1:33" ht="75" x14ac:dyDescent="0.25">
      <c r="A59" s="3" t="s">
        <v>156</v>
      </c>
      <c r="B59" s="3" t="s">
        <v>31</v>
      </c>
      <c r="C59" s="3" t="s">
        <v>2</v>
      </c>
      <c r="D59" s="3">
        <v>0</v>
      </c>
      <c r="E59" s="4">
        <v>1</v>
      </c>
      <c r="F59" s="3" t="s">
        <v>44</v>
      </c>
      <c r="G59">
        <v>4123</v>
      </c>
      <c r="H59">
        <v>4123</v>
      </c>
      <c r="I59">
        <v>4123</v>
      </c>
      <c r="J59" s="3"/>
      <c r="K59">
        <v>81</v>
      </c>
      <c r="L59" t="s">
        <v>29</v>
      </c>
      <c r="M59" t="s">
        <v>21</v>
      </c>
      <c r="N59">
        <v>52</v>
      </c>
      <c r="O59">
        <v>1310</v>
      </c>
      <c r="P59">
        <v>1310</v>
      </c>
      <c r="Q59">
        <v>1310</v>
      </c>
      <c r="R59" t="s">
        <v>858</v>
      </c>
      <c r="S59" t="s">
        <v>857</v>
      </c>
      <c r="V59" s="6">
        <v>96</v>
      </c>
      <c r="W59" s="6">
        <v>93</v>
      </c>
      <c r="X59" s="6" t="s">
        <v>157</v>
      </c>
      <c r="Y59">
        <v>0.67931281484398465</v>
      </c>
      <c r="Z59">
        <v>0.68422131398116071</v>
      </c>
      <c r="AB59">
        <f>H59/[1]Sheet1!$H$97</f>
        <v>2.065715655769607</v>
      </c>
      <c r="AD59" t="e">
        <f t="shared" si="1"/>
        <v>#VALUE!</v>
      </c>
      <c r="AG59">
        <f t="shared" si="2"/>
        <v>55.421926432474017</v>
      </c>
    </row>
    <row r="60" spans="1:33" ht="60" x14ac:dyDescent="0.25">
      <c r="A60" s="3" t="s">
        <v>158</v>
      </c>
      <c r="B60" s="3" t="s">
        <v>31</v>
      </c>
      <c r="C60" s="3" t="s">
        <v>53</v>
      </c>
      <c r="D60" s="3">
        <v>0</v>
      </c>
      <c r="E60" s="4">
        <v>0</v>
      </c>
      <c r="F60" s="3" t="s">
        <v>70</v>
      </c>
      <c r="G60">
        <v>5556</v>
      </c>
      <c r="H60" t="s">
        <v>28</v>
      </c>
      <c r="I60" t="s">
        <v>28</v>
      </c>
      <c r="J60" s="3"/>
      <c r="K60">
        <v>32</v>
      </c>
      <c r="L60" t="s">
        <v>29</v>
      </c>
      <c r="M60" t="s">
        <v>21</v>
      </c>
      <c r="N60">
        <v>61</v>
      </c>
      <c r="O60" s="41">
        <f>513+504</f>
        <v>1017</v>
      </c>
      <c r="P60" s="41">
        <f>513+504</f>
        <v>1017</v>
      </c>
      <c r="Q60" s="41">
        <f>513+504</f>
        <v>1017</v>
      </c>
      <c r="R60" s="41" t="s">
        <v>1135</v>
      </c>
      <c r="S60" t="s">
        <v>859</v>
      </c>
      <c r="Y60" t="s">
        <v>28</v>
      </c>
      <c r="Z60" t="s">
        <v>28</v>
      </c>
      <c r="AB60" t="e">
        <f>H60/[1]Sheet1!$H$97</f>
        <v>#VALUE!</v>
      </c>
      <c r="AD60" t="e">
        <f t="shared" si="1"/>
        <v>#VALUE!</v>
      </c>
      <c r="AG60" t="s">
        <v>28</v>
      </c>
    </row>
    <row r="61" spans="1:33" ht="45" x14ac:dyDescent="0.25">
      <c r="A61" s="9" t="s">
        <v>159</v>
      </c>
      <c r="B61" s="3" t="s">
        <v>160</v>
      </c>
      <c r="C61" s="10" t="s">
        <v>2</v>
      </c>
      <c r="D61" s="10">
        <v>0</v>
      </c>
      <c r="E61" s="10">
        <v>1</v>
      </c>
      <c r="F61" s="3" t="s">
        <v>44</v>
      </c>
      <c r="G61">
        <v>6182</v>
      </c>
      <c r="H61">
        <v>6182</v>
      </c>
      <c r="I61">
        <v>6182</v>
      </c>
      <c r="J61" s="3"/>
      <c r="K61">
        <v>34</v>
      </c>
      <c r="L61" t="s">
        <v>134</v>
      </c>
      <c r="M61" t="s">
        <v>161</v>
      </c>
      <c r="N61">
        <v>9</v>
      </c>
      <c r="O61" s="41">
        <f>718+723</f>
        <v>1441</v>
      </c>
      <c r="P61" s="41">
        <f>718+723</f>
        <v>1441</v>
      </c>
      <c r="Q61" s="41">
        <f>718+723</f>
        <v>1441</v>
      </c>
      <c r="R61" s="41" t="s">
        <v>1136</v>
      </c>
      <c r="S61" t="s">
        <v>860</v>
      </c>
      <c r="V61" s="6">
        <v>97</v>
      </c>
      <c r="W61" s="6">
        <v>95</v>
      </c>
      <c r="X61" s="6" t="s">
        <v>162</v>
      </c>
      <c r="Y61">
        <v>1.0185573178184606</v>
      </c>
      <c r="Z61">
        <v>1.0259170902332124</v>
      </c>
      <c r="AB61">
        <f>H61/[1]Sheet1!$H$97</f>
        <v>3.0973209274721589</v>
      </c>
      <c r="AD61" t="e">
        <f t="shared" si="1"/>
        <v>#VALUE!</v>
      </c>
      <c r="AG61">
        <f t="shared" ref="AG61:AG74" si="3">K61*Z61</f>
        <v>34.881181067929219</v>
      </c>
    </row>
    <row r="62" spans="1:33" ht="45" x14ac:dyDescent="0.25">
      <c r="A62" s="9" t="s">
        <v>163</v>
      </c>
      <c r="B62" s="3" t="s">
        <v>164</v>
      </c>
      <c r="C62" s="10" t="s">
        <v>2</v>
      </c>
      <c r="D62" s="10">
        <v>0</v>
      </c>
      <c r="E62" s="10">
        <v>1</v>
      </c>
      <c r="F62" s="3" t="s">
        <v>165</v>
      </c>
      <c r="J62" s="3"/>
      <c r="M62" t="s">
        <v>161</v>
      </c>
      <c r="N62">
        <v>77</v>
      </c>
      <c r="Y62">
        <v>0</v>
      </c>
      <c r="Z62">
        <v>0</v>
      </c>
      <c r="AB62">
        <f>H62/[1]Sheet1!$H$97</f>
        <v>0</v>
      </c>
      <c r="AD62" t="e">
        <f t="shared" si="1"/>
        <v>#VALUE!</v>
      </c>
      <c r="AG62">
        <f t="shared" si="3"/>
        <v>0</v>
      </c>
    </row>
    <row r="63" spans="1:33" ht="60" x14ac:dyDescent="0.25">
      <c r="A63" s="9" t="s">
        <v>166</v>
      </c>
      <c r="B63" s="3" t="s">
        <v>160</v>
      </c>
      <c r="C63" s="10" t="s">
        <v>2</v>
      </c>
      <c r="D63" s="10">
        <v>0</v>
      </c>
      <c r="E63" s="10">
        <v>1</v>
      </c>
      <c r="F63" s="3" t="s">
        <v>165</v>
      </c>
      <c r="J63" s="3"/>
      <c r="M63" t="s">
        <v>161</v>
      </c>
      <c r="Y63">
        <v>0</v>
      </c>
      <c r="Z63">
        <v>0</v>
      </c>
      <c r="AB63">
        <f>H63/[1]Sheet1!$H$97</f>
        <v>0</v>
      </c>
      <c r="AD63" t="e">
        <f t="shared" si="1"/>
        <v>#VALUE!</v>
      </c>
      <c r="AG63">
        <f t="shared" si="3"/>
        <v>0</v>
      </c>
    </row>
    <row r="64" spans="1:33" ht="45" x14ac:dyDescent="0.25">
      <c r="A64" s="9" t="s">
        <v>167</v>
      </c>
      <c r="B64" s="3" t="s">
        <v>168</v>
      </c>
      <c r="C64" s="9" t="s">
        <v>169</v>
      </c>
      <c r="D64" s="9"/>
      <c r="E64" s="9"/>
      <c r="F64" s="3" t="s">
        <v>165</v>
      </c>
      <c r="J64" s="3"/>
      <c r="M64" t="s">
        <v>161</v>
      </c>
      <c r="Y64">
        <v>0</v>
      </c>
      <c r="Z64">
        <v>0</v>
      </c>
      <c r="AB64">
        <f>H64/[1]Sheet1!$H$97</f>
        <v>0</v>
      </c>
      <c r="AD64" t="e">
        <f t="shared" si="1"/>
        <v>#VALUE!</v>
      </c>
      <c r="AG64">
        <f t="shared" si="3"/>
        <v>0</v>
      </c>
    </row>
    <row r="65" spans="1:33" ht="45" x14ac:dyDescent="0.25">
      <c r="A65" s="9" t="s">
        <v>170</v>
      </c>
      <c r="B65" s="3" t="s">
        <v>160</v>
      </c>
      <c r="C65" s="9" t="s">
        <v>171</v>
      </c>
      <c r="D65" s="9">
        <v>1</v>
      </c>
      <c r="E65" s="11">
        <v>1</v>
      </c>
      <c r="F65" s="3" t="s">
        <v>165</v>
      </c>
      <c r="G65">
        <v>3850</v>
      </c>
      <c r="H65">
        <v>3850</v>
      </c>
      <c r="I65">
        <v>3850</v>
      </c>
      <c r="J65" s="3"/>
      <c r="K65">
        <v>46</v>
      </c>
      <c r="L65" t="s">
        <v>29</v>
      </c>
      <c r="M65" t="s">
        <v>161</v>
      </c>
      <c r="N65">
        <v>60</v>
      </c>
      <c r="O65">
        <f>570+585</f>
        <v>1155</v>
      </c>
      <c r="P65">
        <f>570+585</f>
        <v>1155</v>
      </c>
      <c r="Q65">
        <f>570+585</f>
        <v>1155</v>
      </c>
      <c r="R65" t="s">
        <v>861</v>
      </c>
      <c r="V65" s="6">
        <v>91</v>
      </c>
      <c r="W65" s="6">
        <v>85</v>
      </c>
      <c r="X65" s="6" t="s">
        <v>172</v>
      </c>
      <c r="Y65">
        <v>0.63433284917519783</v>
      </c>
      <c r="Z65">
        <v>0.63891633733385123</v>
      </c>
      <c r="AB65">
        <f>H65/[1]Sheet1!$H$97</f>
        <v>1.9289365206677145</v>
      </c>
      <c r="AD65" t="e">
        <f t="shared" si="1"/>
        <v>#VALUE!</v>
      </c>
      <c r="AG65">
        <f t="shared" si="3"/>
        <v>29.390151517357157</v>
      </c>
    </row>
    <row r="66" spans="1:33" ht="45" x14ac:dyDescent="0.25">
      <c r="A66" s="9" t="s">
        <v>173</v>
      </c>
      <c r="B66" s="3" t="s">
        <v>160</v>
      </c>
      <c r="C66" s="10" t="s">
        <v>53</v>
      </c>
      <c r="D66" s="10">
        <v>0</v>
      </c>
      <c r="E66" s="10">
        <v>0</v>
      </c>
      <c r="F66" s="3" t="s">
        <v>165</v>
      </c>
      <c r="J66" s="3"/>
      <c r="M66" t="s">
        <v>161</v>
      </c>
      <c r="N66">
        <v>72</v>
      </c>
      <c r="O66" s="41">
        <f>460+455</f>
        <v>915</v>
      </c>
      <c r="P66" s="41">
        <f>460+455</f>
        <v>915</v>
      </c>
      <c r="Q66" s="41">
        <f>460+455</f>
        <v>915</v>
      </c>
      <c r="R66" s="41" t="s">
        <v>1137</v>
      </c>
      <c r="S66" t="s">
        <v>862</v>
      </c>
      <c r="Y66">
        <v>0</v>
      </c>
      <c r="Z66">
        <v>0</v>
      </c>
      <c r="AB66">
        <f>H66/[1]Sheet1!$H$97</f>
        <v>0</v>
      </c>
      <c r="AD66" t="e">
        <f t="shared" si="1"/>
        <v>#VALUE!</v>
      </c>
      <c r="AG66">
        <f t="shared" si="3"/>
        <v>0</v>
      </c>
    </row>
    <row r="67" spans="1:33" ht="60" x14ac:dyDescent="0.25">
      <c r="A67" s="9" t="s">
        <v>174</v>
      </c>
      <c r="B67" s="3" t="s">
        <v>175</v>
      </c>
      <c r="C67" s="10" t="s">
        <v>2</v>
      </c>
      <c r="D67" s="10">
        <v>0</v>
      </c>
      <c r="E67" s="10">
        <v>1</v>
      </c>
      <c r="F67" s="3" t="s">
        <v>165</v>
      </c>
      <c r="J67" s="3"/>
      <c r="M67" t="s">
        <v>161</v>
      </c>
      <c r="N67">
        <v>81</v>
      </c>
      <c r="V67" s="6">
        <v>83</v>
      </c>
      <c r="W67" s="6">
        <v>63</v>
      </c>
      <c r="X67" s="6" t="s">
        <v>176</v>
      </c>
      <c r="Y67">
        <v>0</v>
      </c>
      <c r="Z67">
        <v>0</v>
      </c>
      <c r="AB67">
        <f>H67/[1]Sheet1!$H$97</f>
        <v>0</v>
      </c>
      <c r="AD67" t="e">
        <f t="shared" ref="AD67:AD130" si="4">AD66+Y67</f>
        <v>#VALUE!</v>
      </c>
      <c r="AG67">
        <f t="shared" si="3"/>
        <v>0</v>
      </c>
    </row>
    <row r="68" spans="1:33" ht="60" x14ac:dyDescent="0.25">
      <c r="A68" s="9" t="s">
        <v>177</v>
      </c>
      <c r="B68" s="3" t="s">
        <v>168</v>
      </c>
      <c r="C68" s="9" t="s">
        <v>171</v>
      </c>
      <c r="D68" s="9">
        <v>1</v>
      </c>
      <c r="E68" s="11">
        <v>1</v>
      </c>
      <c r="F68" s="3" t="s">
        <v>165</v>
      </c>
      <c r="G68">
        <v>2026</v>
      </c>
      <c r="H68">
        <v>2026</v>
      </c>
      <c r="I68">
        <v>2026</v>
      </c>
      <c r="J68" s="3"/>
      <c r="K68">
        <v>37</v>
      </c>
      <c r="L68" t="s">
        <v>29</v>
      </c>
      <c r="M68" t="s">
        <v>161</v>
      </c>
      <c r="N68">
        <v>67</v>
      </c>
      <c r="O68">
        <f>1593-12.418*N68+0.065*N68*N68</f>
        <v>1052.779</v>
      </c>
      <c r="P68">
        <f>1451-5.739*N68</f>
        <v>1066.4870000000001</v>
      </c>
      <c r="T68">
        <v>-1</v>
      </c>
      <c r="U68">
        <v>-1</v>
      </c>
      <c r="V68" s="6">
        <v>79</v>
      </c>
      <c r="W68" s="6">
        <v>64</v>
      </c>
      <c r="X68" s="6" t="s">
        <v>178</v>
      </c>
      <c r="Y68">
        <v>0.33380736426725999</v>
      </c>
      <c r="Z68">
        <v>0.33621935050347601</v>
      </c>
      <c r="AB68">
        <f>H68/[1]Sheet1!$H$97</f>
        <v>1.0150715300968285</v>
      </c>
      <c r="AD68" t="e">
        <f t="shared" si="4"/>
        <v>#VALUE!</v>
      </c>
      <c r="AG68">
        <f t="shared" si="3"/>
        <v>12.440115968628612</v>
      </c>
    </row>
    <row r="69" spans="1:33" ht="60" x14ac:dyDescent="0.25">
      <c r="A69" s="9" t="s">
        <v>179</v>
      </c>
      <c r="B69" s="12" t="s">
        <v>180</v>
      </c>
      <c r="C69" s="10" t="s">
        <v>53</v>
      </c>
      <c r="D69" s="10">
        <v>0</v>
      </c>
      <c r="E69" s="11">
        <v>0</v>
      </c>
      <c r="F69" s="3" t="s">
        <v>44</v>
      </c>
      <c r="G69">
        <v>13589</v>
      </c>
      <c r="H69">
        <v>13589</v>
      </c>
      <c r="I69">
        <v>13589</v>
      </c>
      <c r="J69" s="3"/>
      <c r="K69">
        <v>43</v>
      </c>
      <c r="L69" t="s">
        <v>29</v>
      </c>
      <c r="M69" t="s">
        <v>161</v>
      </c>
      <c r="N69">
        <v>76</v>
      </c>
      <c r="O69">
        <v>1110</v>
      </c>
      <c r="P69">
        <v>1110</v>
      </c>
      <c r="Q69">
        <v>1110</v>
      </c>
      <c r="R69" t="s">
        <v>864</v>
      </c>
      <c r="S69" t="s">
        <v>863</v>
      </c>
      <c r="V69" s="6">
        <v>82</v>
      </c>
      <c r="W69" s="6">
        <v>60</v>
      </c>
      <c r="X69" s="7" t="s">
        <v>181</v>
      </c>
      <c r="Y69">
        <v>2.2389478149199387</v>
      </c>
      <c r="Z69">
        <v>2.2551257423453777</v>
      </c>
      <c r="AB69">
        <f>H69/[1]Sheet1!$H$97</f>
        <v>6.8083943842476815</v>
      </c>
      <c r="AD69" t="e">
        <f t="shared" si="4"/>
        <v>#VALUE!</v>
      </c>
      <c r="AG69">
        <f t="shared" si="3"/>
        <v>96.970406920851246</v>
      </c>
    </row>
    <row r="70" spans="1:33" ht="16.5" x14ac:dyDescent="0.25">
      <c r="A70" s="13" t="s">
        <v>182</v>
      </c>
      <c r="D70" s="10">
        <v>0</v>
      </c>
      <c r="E70" s="11">
        <v>0</v>
      </c>
      <c r="G70">
        <v>5447</v>
      </c>
      <c r="H70">
        <v>5447</v>
      </c>
      <c r="I70">
        <v>5447</v>
      </c>
      <c r="K70">
        <v>46</v>
      </c>
      <c r="L70" t="s">
        <v>29</v>
      </c>
      <c r="M70" t="s">
        <v>183</v>
      </c>
      <c r="N70">
        <v>65</v>
      </c>
      <c r="O70" s="44">
        <v>1020</v>
      </c>
      <c r="P70" s="44">
        <v>1020</v>
      </c>
      <c r="Q70" s="44">
        <v>1020</v>
      </c>
      <c r="R70" s="44" t="s">
        <v>865</v>
      </c>
      <c r="S70" t="s">
        <v>866</v>
      </c>
      <c r="V70" s="6">
        <v>78</v>
      </c>
      <c r="W70" s="6">
        <v>51</v>
      </c>
      <c r="X70" s="7" t="s">
        <v>184</v>
      </c>
      <c r="Y70">
        <v>0.89745741024865</v>
      </c>
      <c r="Z70">
        <v>0.90394215310584092</v>
      </c>
      <c r="AB70">
        <f>H70/[1]Sheet1!$H$97</f>
        <v>2.7290694098901405</v>
      </c>
      <c r="AD70" t="e">
        <f t="shared" si="4"/>
        <v>#VALUE!</v>
      </c>
      <c r="AG70">
        <f t="shared" si="3"/>
        <v>41.581339042868684</v>
      </c>
    </row>
    <row r="71" spans="1:33" x14ac:dyDescent="0.25">
      <c r="A71" s="13" t="s">
        <v>185</v>
      </c>
      <c r="D71" s="10">
        <v>0</v>
      </c>
      <c r="E71" s="11">
        <v>0</v>
      </c>
      <c r="G71">
        <v>9771</v>
      </c>
      <c r="H71">
        <v>9771</v>
      </c>
      <c r="I71">
        <v>9771</v>
      </c>
      <c r="K71">
        <v>10</v>
      </c>
      <c r="L71" t="s">
        <v>29</v>
      </c>
      <c r="M71" t="s">
        <v>183</v>
      </c>
      <c r="N71">
        <v>64</v>
      </c>
      <c r="O71" s="41">
        <f>505+507</f>
        <v>1012</v>
      </c>
      <c r="P71" s="41">
        <f>505+507</f>
        <v>1012</v>
      </c>
      <c r="Q71" s="41">
        <f>505+507</f>
        <v>1012</v>
      </c>
      <c r="R71" s="41" t="s">
        <v>1138</v>
      </c>
      <c r="S71" t="s">
        <v>867</v>
      </c>
      <c r="V71" s="6">
        <v>79</v>
      </c>
      <c r="W71" s="6">
        <v>49</v>
      </c>
      <c r="X71" s="7" t="s">
        <v>186</v>
      </c>
      <c r="Y71">
        <v>1.6098873426729501</v>
      </c>
      <c r="Z71">
        <v>1.6215198784646909</v>
      </c>
      <c r="AB71">
        <f>H71/[1]Sheet1!$H$97</f>
        <v>4.8954905827127897</v>
      </c>
      <c r="AD71" t="e">
        <f t="shared" si="4"/>
        <v>#VALUE!</v>
      </c>
      <c r="AG71">
        <f t="shared" si="3"/>
        <v>16.215198784646908</v>
      </c>
    </row>
    <row r="72" spans="1:33" x14ac:dyDescent="0.25">
      <c r="A72" s="13" t="s">
        <v>187</v>
      </c>
      <c r="D72" s="10">
        <v>0</v>
      </c>
      <c r="E72" s="11">
        <v>0</v>
      </c>
      <c r="G72">
        <v>8496</v>
      </c>
      <c r="H72">
        <v>8496</v>
      </c>
      <c r="I72">
        <v>8496</v>
      </c>
      <c r="K72">
        <v>26</v>
      </c>
      <c r="L72" t="s">
        <v>29</v>
      </c>
      <c r="M72" t="s">
        <v>183</v>
      </c>
      <c r="N72">
        <v>75</v>
      </c>
      <c r="O72" s="41">
        <f>465+458</f>
        <v>923</v>
      </c>
      <c r="P72" s="41">
        <f>465+458</f>
        <v>923</v>
      </c>
      <c r="Q72" s="41">
        <f>465+458</f>
        <v>923</v>
      </c>
      <c r="R72" s="41" t="s">
        <v>1139</v>
      </c>
      <c r="S72" t="s">
        <v>868</v>
      </c>
      <c r="V72" s="6">
        <f>(565*81.8+436*74.1+156*64.1+33*45.5+85*23.5)/(565+436+156+33+85)</f>
        <v>72.175058823529426</v>
      </c>
      <c r="W72" s="6">
        <v>42</v>
      </c>
      <c r="X72" s="6" t="s">
        <v>188</v>
      </c>
      <c r="Y72">
        <v>1.3998160744396055</v>
      </c>
      <c r="Z72">
        <v>1.4099307018151688</v>
      </c>
      <c r="AB72">
        <f>H72/[1]Sheet1!$H$97</f>
        <v>4.2566869297643901</v>
      </c>
      <c r="AD72" t="e">
        <f t="shared" si="4"/>
        <v>#VALUE!</v>
      </c>
      <c r="AG72">
        <f t="shared" si="3"/>
        <v>36.658198247194392</v>
      </c>
    </row>
    <row r="73" spans="1:33" x14ac:dyDescent="0.25">
      <c r="A73" s="13" t="s">
        <v>189</v>
      </c>
      <c r="D73" s="10">
        <v>0</v>
      </c>
      <c r="E73" s="11">
        <v>0</v>
      </c>
      <c r="G73">
        <v>5952</v>
      </c>
      <c r="H73">
        <v>5952</v>
      </c>
      <c r="I73">
        <v>5952</v>
      </c>
      <c r="K73">
        <v>4</v>
      </c>
      <c r="L73" t="s">
        <v>29</v>
      </c>
      <c r="M73" t="s">
        <v>183</v>
      </c>
      <c r="N73">
        <v>65</v>
      </c>
      <c r="O73">
        <v>1000</v>
      </c>
      <c r="P73">
        <v>1000</v>
      </c>
      <c r="Q73">
        <v>1000</v>
      </c>
      <c r="R73" t="s">
        <v>869</v>
      </c>
      <c r="S73" t="s">
        <v>870</v>
      </c>
      <c r="V73" s="6">
        <v>73</v>
      </c>
      <c r="W73" s="6">
        <v>42</v>
      </c>
      <c r="X73" s="7" t="s">
        <v>190</v>
      </c>
      <c r="Y73">
        <v>0.98066210864695524</v>
      </c>
      <c r="Z73">
        <v>0.9877480622885928</v>
      </c>
      <c r="AB73">
        <f>H73/[1]Sheet1!$H$97</f>
        <v>2.9820857587049967</v>
      </c>
      <c r="AD73" t="e">
        <f t="shared" si="4"/>
        <v>#VALUE!</v>
      </c>
      <c r="AG73">
        <f t="shared" si="3"/>
        <v>3.9509922491543712</v>
      </c>
    </row>
    <row r="74" spans="1:33" x14ac:dyDescent="0.25">
      <c r="A74" s="13" t="s">
        <v>191</v>
      </c>
      <c r="D74" s="10">
        <v>0</v>
      </c>
      <c r="E74" s="11">
        <v>0</v>
      </c>
      <c r="G74">
        <v>18032</v>
      </c>
      <c r="H74">
        <v>18032</v>
      </c>
      <c r="I74">
        <v>18032</v>
      </c>
      <c r="K74">
        <v>34</v>
      </c>
      <c r="L74" t="s">
        <v>192</v>
      </c>
      <c r="M74" t="s">
        <v>183</v>
      </c>
      <c r="N74">
        <v>54</v>
      </c>
      <c r="O74">
        <v>1233</v>
      </c>
      <c r="P74">
        <v>1233</v>
      </c>
      <c r="Q74">
        <v>1233</v>
      </c>
      <c r="R74" t="s">
        <v>872</v>
      </c>
      <c r="S74" t="s">
        <v>871</v>
      </c>
      <c r="V74" s="6">
        <v>94</v>
      </c>
      <c r="W74" s="6">
        <v>83</v>
      </c>
      <c r="X74" s="7" t="s">
        <v>193</v>
      </c>
      <c r="Y74">
        <v>2.9709843990460176</v>
      </c>
      <c r="Z74">
        <v>2.9924517908581829</v>
      </c>
      <c r="AB74">
        <f>H74/[1]Sheet1!$H$97</f>
        <v>9.0344372313455139</v>
      </c>
      <c r="AD74" t="e">
        <f t="shared" si="4"/>
        <v>#VALUE!</v>
      </c>
      <c r="AG74">
        <f t="shared" si="3"/>
        <v>101.74336088917822</v>
      </c>
    </row>
    <row r="75" spans="1:33" x14ac:dyDescent="0.25">
      <c r="A75" s="13" t="s">
        <v>194</v>
      </c>
      <c r="D75" s="10">
        <v>1</v>
      </c>
      <c r="E75" s="11">
        <v>1</v>
      </c>
      <c r="F75" t="s">
        <v>195</v>
      </c>
      <c r="G75" t="s">
        <v>28</v>
      </c>
      <c r="H75" t="s">
        <v>28</v>
      </c>
      <c r="I75" t="s">
        <v>28</v>
      </c>
      <c r="M75" t="s">
        <v>183</v>
      </c>
      <c r="N75">
        <v>71</v>
      </c>
      <c r="W75" s="5">
        <v>52</v>
      </c>
      <c r="Y75" t="s">
        <v>28</v>
      </c>
      <c r="Z75" t="s">
        <v>28</v>
      </c>
      <c r="AB75" t="e">
        <f>H75/[1]Sheet1!$H$97</f>
        <v>#VALUE!</v>
      </c>
      <c r="AD75" t="e">
        <f t="shared" si="4"/>
        <v>#VALUE!</v>
      </c>
      <c r="AG75" t="s">
        <v>28</v>
      </c>
    </row>
    <row r="76" spans="1:33" x14ac:dyDescent="0.25">
      <c r="A76" s="13" t="s">
        <v>196</v>
      </c>
      <c r="D76" s="10">
        <v>0</v>
      </c>
      <c r="E76" s="11">
        <v>0</v>
      </c>
      <c r="M76" t="s">
        <v>183</v>
      </c>
      <c r="N76">
        <v>64</v>
      </c>
      <c r="W76" s="5">
        <v>27</v>
      </c>
      <c r="Y76">
        <v>0</v>
      </c>
      <c r="Z76">
        <v>0</v>
      </c>
      <c r="AB76">
        <f>H76/[1]Sheet1!$H$97</f>
        <v>0</v>
      </c>
      <c r="AD76" t="e">
        <f t="shared" si="4"/>
        <v>#VALUE!</v>
      </c>
      <c r="AG76">
        <f>K76*Z76</f>
        <v>0</v>
      </c>
    </row>
    <row r="77" spans="1:33" x14ac:dyDescent="0.25">
      <c r="A77" s="13" t="s">
        <v>197</v>
      </c>
      <c r="D77" s="10">
        <v>0</v>
      </c>
      <c r="E77" s="11">
        <v>1</v>
      </c>
      <c r="G77">
        <v>1877</v>
      </c>
      <c r="H77">
        <v>1877</v>
      </c>
      <c r="I77">
        <v>1877</v>
      </c>
      <c r="K77">
        <v>25</v>
      </c>
      <c r="L77" t="s">
        <v>29</v>
      </c>
      <c r="M77" t="s">
        <v>183</v>
      </c>
      <c r="N77">
        <v>37</v>
      </c>
      <c r="O77">
        <f>691+694</f>
        <v>1385</v>
      </c>
      <c r="P77">
        <f>691+694</f>
        <v>1385</v>
      </c>
      <c r="Q77">
        <f>691+694</f>
        <v>1385</v>
      </c>
      <c r="R77" t="s">
        <v>1140</v>
      </c>
      <c r="S77" t="s">
        <v>873</v>
      </c>
      <c r="V77" s="6">
        <v>92</v>
      </c>
      <c r="W77" s="6">
        <v>84.9</v>
      </c>
      <c r="X77" s="6" t="s">
        <v>198</v>
      </c>
      <c r="Y77">
        <v>0.30925785919528476</v>
      </c>
      <c r="Z77">
        <v>0.31149245848717888</v>
      </c>
      <c r="AB77">
        <f>H77/[1]Sheet1!$H$97</f>
        <v>0.94041918163462346</v>
      </c>
      <c r="AD77" t="e">
        <f t="shared" si="4"/>
        <v>#VALUE!</v>
      </c>
      <c r="AG77">
        <f>K77*Z77</f>
        <v>7.7873114621794723</v>
      </c>
    </row>
    <row r="78" spans="1:33" x14ac:dyDescent="0.25">
      <c r="A78" s="13" t="s">
        <v>199</v>
      </c>
      <c r="D78" s="10">
        <v>1</v>
      </c>
      <c r="E78" s="11">
        <v>1</v>
      </c>
      <c r="F78" t="s">
        <v>195</v>
      </c>
      <c r="G78">
        <v>3835</v>
      </c>
      <c r="H78">
        <v>3835</v>
      </c>
      <c r="I78">
        <v>3835</v>
      </c>
      <c r="K78">
        <v>42</v>
      </c>
      <c r="L78" t="s">
        <v>29</v>
      </c>
      <c r="M78" t="s">
        <v>183</v>
      </c>
      <c r="N78">
        <v>70</v>
      </c>
      <c r="O78">
        <f>604+587</f>
        <v>1191</v>
      </c>
      <c r="P78">
        <f>604+587</f>
        <v>1191</v>
      </c>
      <c r="Q78">
        <f>604+587</f>
        <v>1191</v>
      </c>
      <c r="R78" t="s">
        <v>1141</v>
      </c>
      <c r="S78" t="s">
        <v>874</v>
      </c>
      <c r="V78" s="6">
        <v>87</v>
      </c>
      <c r="W78" s="6">
        <v>82</v>
      </c>
      <c r="X78" s="7" t="s">
        <v>200</v>
      </c>
      <c r="Y78">
        <v>0.63186142249009969</v>
      </c>
      <c r="Z78">
        <v>0.63642705290268031</v>
      </c>
      <c r="AB78">
        <f>H78/[1]Sheet1!$H$97</f>
        <v>1.9214211835742041</v>
      </c>
      <c r="AD78" t="e">
        <f t="shared" si="4"/>
        <v>#VALUE!</v>
      </c>
      <c r="AG78">
        <f>K78*Z78</f>
        <v>26.729936221912574</v>
      </c>
    </row>
    <row r="79" spans="1:33" x14ac:dyDescent="0.25">
      <c r="A79" s="13" t="s">
        <v>201</v>
      </c>
      <c r="D79" s="10">
        <v>0</v>
      </c>
      <c r="E79" s="11">
        <v>0</v>
      </c>
      <c r="G79">
        <v>5350</v>
      </c>
      <c r="H79">
        <v>5350</v>
      </c>
      <c r="I79">
        <v>5350</v>
      </c>
      <c r="K79">
        <v>24</v>
      </c>
      <c r="L79" t="s">
        <v>29</v>
      </c>
      <c r="M79" t="s">
        <v>183</v>
      </c>
      <c r="N79">
        <v>65</v>
      </c>
      <c r="O79">
        <v>1045</v>
      </c>
      <c r="P79">
        <v>1045</v>
      </c>
      <c r="Q79">
        <v>1045</v>
      </c>
      <c r="R79" t="s">
        <v>875</v>
      </c>
      <c r="V79" s="6">
        <v>75.5</v>
      </c>
      <c r="W79" s="6">
        <v>55</v>
      </c>
      <c r="X79" s="7" t="s">
        <v>202</v>
      </c>
      <c r="Y79">
        <v>0.8814755176850152</v>
      </c>
      <c r="Z79">
        <v>0.88784478045093607</v>
      </c>
      <c r="AB79">
        <f>H79/[1]Sheet1!$H$97</f>
        <v>2.6804702300187722</v>
      </c>
      <c r="AD79" t="e">
        <f t="shared" si="4"/>
        <v>#VALUE!</v>
      </c>
      <c r="AG79">
        <f>K79*Z79</f>
        <v>21.308274730822465</v>
      </c>
    </row>
    <row r="80" spans="1:33" x14ac:dyDescent="0.25">
      <c r="A80" s="13" t="s">
        <v>203</v>
      </c>
      <c r="D80" s="10">
        <v>0</v>
      </c>
      <c r="E80" s="11">
        <v>0</v>
      </c>
      <c r="G80" t="s">
        <v>28</v>
      </c>
      <c r="H80" t="s">
        <v>28</v>
      </c>
      <c r="I80" t="s">
        <v>28</v>
      </c>
      <c r="M80" t="s">
        <v>183</v>
      </c>
      <c r="N80">
        <v>74</v>
      </c>
      <c r="O80">
        <f>527+531</f>
        <v>1058</v>
      </c>
      <c r="P80">
        <f>527+531</f>
        <v>1058</v>
      </c>
      <c r="Q80">
        <f>527+531</f>
        <v>1058</v>
      </c>
      <c r="R80" t="s">
        <v>1142</v>
      </c>
      <c r="S80" s="7" t="s">
        <v>204</v>
      </c>
      <c r="V80" s="6">
        <v>76.400000000000006</v>
      </c>
      <c r="W80" s="6">
        <v>55</v>
      </c>
      <c r="X80" s="7" t="s">
        <v>204</v>
      </c>
      <c r="Y80" t="s">
        <v>28</v>
      </c>
      <c r="Z80" t="s">
        <v>28</v>
      </c>
      <c r="AB80" t="e">
        <f>H80/[1]Sheet1!$H$97</f>
        <v>#VALUE!</v>
      </c>
      <c r="AD80" t="e">
        <f t="shared" si="4"/>
        <v>#VALUE!</v>
      </c>
      <c r="AG80" t="s">
        <v>28</v>
      </c>
    </row>
    <row r="81" spans="1:33" x14ac:dyDescent="0.25">
      <c r="A81" s="13" t="s">
        <v>205</v>
      </c>
      <c r="D81" s="10">
        <v>0</v>
      </c>
      <c r="E81" s="11">
        <v>1</v>
      </c>
      <c r="G81">
        <v>6500</v>
      </c>
      <c r="H81" t="s">
        <v>28</v>
      </c>
      <c r="I81">
        <v>6500</v>
      </c>
      <c r="K81">
        <v>51</v>
      </c>
      <c r="L81" t="s">
        <v>29</v>
      </c>
      <c r="M81" t="s">
        <v>183</v>
      </c>
      <c r="N81">
        <v>67</v>
      </c>
      <c r="O81">
        <f>550+568</f>
        <v>1118</v>
      </c>
      <c r="P81">
        <f>550+568</f>
        <v>1118</v>
      </c>
      <c r="Q81">
        <f>550+568</f>
        <v>1118</v>
      </c>
      <c r="R81" t="s">
        <v>1143</v>
      </c>
      <c r="S81" t="s">
        <v>876</v>
      </c>
      <c r="W81" s="6">
        <v>72</v>
      </c>
      <c r="X81" s="7" t="s">
        <v>206</v>
      </c>
      <c r="Y81" t="s">
        <v>28</v>
      </c>
      <c r="Z81">
        <v>1.0786899201740345</v>
      </c>
      <c r="AB81" t="e">
        <f>H81/[1]Sheet1!$H$97</f>
        <v>#VALUE!</v>
      </c>
      <c r="AD81" t="e">
        <f t="shared" si="4"/>
        <v>#VALUE!</v>
      </c>
      <c r="AG81">
        <f>K81*Z81</f>
        <v>55.013185928875764</v>
      </c>
    </row>
    <row r="82" spans="1:33" x14ac:dyDescent="0.25">
      <c r="A82" s="13" t="s">
        <v>207</v>
      </c>
      <c r="D82" s="10">
        <v>1</v>
      </c>
      <c r="E82" s="11">
        <v>1</v>
      </c>
      <c r="F82" t="s">
        <v>195</v>
      </c>
      <c r="K82" t="s">
        <v>208</v>
      </c>
      <c r="M82" t="s">
        <v>183</v>
      </c>
      <c r="N82">
        <v>61</v>
      </c>
      <c r="O82" s="7"/>
      <c r="P82" s="7"/>
      <c r="Q82" s="7"/>
      <c r="R82" s="7" t="s">
        <v>209</v>
      </c>
      <c r="V82" s="6">
        <v>81</v>
      </c>
      <c r="W82" s="6">
        <v>70</v>
      </c>
      <c r="X82" s="6" t="s">
        <v>210</v>
      </c>
      <c r="Y82">
        <v>0</v>
      </c>
      <c r="Z82">
        <v>0</v>
      </c>
      <c r="AB82">
        <f>H82/[1]Sheet1!$H$97</f>
        <v>0</v>
      </c>
      <c r="AD82" t="e">
        <f t="shared" si="4"/>
        <v>#VALUE!</v>
      </c>
      <c r="AG82" t="s">
        <v>28</v>
      </c>
    </row>
    <row r="83" spans="1:33" x14ac:dyDescent="0.25">
      <c r="A83" s="13" t="s">
        <v>211</v>
      </c>
      <c r="D83" s="10">
        <v>1</v>
      </c>
      <c r="E83" s="11">
        <v>1</v>
      </c>
      <c r="F83" t="s">
        <v>195</v>
      </c>
      <c r="G83">
        <v>1100</v>
      </c>
      <c r="H83">
        <v>1100</v>
      </c>
      <c r="I83">
        <v>1100</v>
      </c>
      <c r="K83">
        <v>50</v>
      </c>
      <c r="L83" t="s">
        <v>29</v>
      </c>
      <c r="M83" t="s">
        <v>183</v>
      </c>
      <c r="N83">
        <v>64</v>
      </c>
      <c r="O83">
        <f>1593-12.418*N83+0.065*N83*N83</f>
        <v>1064.4880000000001</v>
      </c>
      <c r="P83">
        <f>1451-5.739*N83</f>
        <v>1083.704</v>
      </c>
      <c r="R83" t="s">
        <v>212</v>
      </c>
      <c r="T83">
        <v>-1</v>
      </c>
      <c r="U83">
        <v>-1</v>
      </c>
      <c r="V83" s="6">
        <v>79</v>
      </c>
      <c r="W83" s="6">
        <v>50</v>
      </c>
      <c r="X83" s="7" t="s">
        <v>213</v>
      </c>
      <c r="Y83">
        <v>0.18123795690719938</v>
      </c>
      <c r="Z83">
        <v>0.18254752495252891</v>
      </c>
      <c r="AB83">
        <f>H83/[1]Sheet1!$H$97</f>
        <v>0.55112472019077563</v>
      </c>
      <c r="AD83" t="e">
        <f t="shared" si="4"/>
        <v>#VALUE!</v>
      </c>
      <c r="AG83">
        <f>K83*Z83</f>
        <v>9.1273762476264455</v>
      </c>
    </row>
    <row r="84" spans="1:33" x14ac:dyDescent="0.25">
      <c r="A84" s="13" t="s">
        <v>214</v>
      </c>
      <c r="D84" s="10">
        <v>0</v>
      </c>
      <c r="E84" s="11">
        <v>1</v>
      </c>
      <c r="G84">
        <v>2301</v>
      </c>
      <c r="H84">
        <v>2301</v>
      </c>
      <c r="I84">
        <v>2301</v>
      </c>
      <c r="K84">
        <v>34</v>
      </c>
      <c r="L84" t="s">
        <v>29</v>
      </c>
      <c r="M84" t="s">
        <v>183</v>
      </c>
      <c r="N84">
        <v>32</v>
      </c>
      <c r="O84">
        <f>640+650</f>
        <v>1290</v>
      </c>
      <c r="P84">
        <f>640+650</f>
        <v>1290</v>
      </c>
      <c r="Q84">
        <f>640+650</f>
        <v>1290</v>
      </c>
      <c r="R84" t="s">
        <v>1144</v>
      </c>
      <c r="S84" t="s">
        <v>215</v>
      </c>
      <c r="V84" s="6">
        <v>88</v>
      </c>
      <c r="W84" s="6">
        <v>83</v>
      </c>
      <c r="X84" s="7" t="s">
        <v>215</v>
      </c>
      <c r="Y84">
        <v>0.37911685349405982</v>
      </c>
      <c r="Z84">
        <v>0.38185623174160821</v>
      </c>
      <c r="AB84">
        <f>H84/[1]Sheet1!$H$97</f>
        <v>1.1528527101445225</v>
      </c>
      <c r="AD84" t="e">
        <f t="shared" si="4"/>
        <v>#VALUE!</v>
      </c>
      <c r="AG84">
        <f>K84*Z84</f>
        <v>12.983111879214679</v>
      </c>
    </row>
    <row r="85" spans="1:33" x14ac:dyDescent="0.25">
      <c r="A85" s="13" t="s">
        <v>216</v>
      </c>
      <c r="D85" s="10">
        <v>0</v>
      </c>
      <c r="E85" s="11">
        <v>1</v>
      </c>
      <c r="G85" t="s">
        <v>28</v>
      </c>
      <c r="H85" t="s">
        <v>28</v>
      </c>
      <c r="I85" t="s">
        <v>28</v>
      </c>
      <c r="M85" t="s">
        <v>183</v>
      </c>
      <c r="N85">
        <v>20</v>
      </c>
      <c r="O85">
        <f>675+685</f>
        <v>1360</v>
      </c>
      <c r="P85">
        <f>675+685</f>
        <v>1360</v>
      </c>
      <c r="Q85">
        <f>675+685</f>
        <v>1360</v>
      </c>
      <c r="R85" t="s">
        <v>1145</v>
      </c>
      <c r="S85" t="s">
        <v>877</v>
      </c>
      <c r="V85" s="6">
        <v>96</v>
      </c>
      <c r="W85" s="6">
        <v>93</v>
      </c>
      <c r="X85" s="7" t="s">
        <v>217</v>
      </c>
      <c r="Y85" t="s">
        <v>28</v>
      </c>
      <c r="Z85" t="s">
        <v>28</v>
      </c>
      <c r="AB85" t="e">
        <f>H85/[1]Sheet1!$H$97</f>
        <v>#VALUE!</v>
      </c>
      <c r="AD85" t="e">
        <f t="shared" si="4"/>
        <v>#VALUE!</v>
      </c>
      <c r="AG85" t="s">
        <v>28</v>
      </c>
    </row>
    <row r="86" spans="1:33" x14ac:dyDescent="0.25">
      <c r="A86" s="13" t="s">
        <v>218</v>
      </c>
      <c r="D86" s="10">
        <v>0</v>
      </c>
      <c r="E86" s="11">
        <v>1</v>
      </c>
      <c r="G86">
        <v>5414</v>
      </c>
      <c r="H86">
        <v>5414</v>
      </c>
      <c r="I86">
        <v>5414</v>
      </c>
      <c r="K86">
        <v>15</v>
      </c>
      <c r="L86" t="s">
        <v>134</v>
      </c>
      <c r="M86" t="s">
        <v>183</v>
      </c>
      <c r="N86">
        <v>7</v>
      </c>
      <c r="O86">
        <f>750+760</f>
        <v>1510</v>
      </c>
      <c r="P86">
        <f>750+760</f>
        <v>1510</v>
      </c>
      <c r="Q86">
        <f>750+760</f>
        <v>1510</v>
      </c>
      <c r="R86" t="s">
        <v>1146</v>
      </c>
      <c r="S86" t="s">
        <v>878</v>
      </c>
      <c r="V86" s="6">
        <v>99</v>
      </c>
      <c r="W86" s="5">
        <v>96</v>
      </c>
      <c r="X86" s="7" t="s">
        <v>219</v>
      </c>
      <c r="Y86">
        <v>0.89202027154143404</v>
      </c>
      <c r="Z86">
        <v>0.89846572735726504</v>
      </c>
      <c r="AB86">
        <f>H86/[1]Sheet1!$H$97</f>
        <v>2.7125356682844175</v>
      </c>
      <c r="AD86" t="e">
        <f t="shared" si="4"/>
        <v>#VALUE!</v>
      </c>
      <c r="AG86">
        <f t="shared" ref="AG86:AG95" si="5">K86*Z86</f>
        <v>13.476985910358975</v>
      </c>
    </row>
    <row r="87" spans="1:33" ht="45" x14ac:dyDescent="0.25">
      <c r="A87" s="9" t="s">
        <v>220</v>
      </c>
      <c r="B87" s="3" t="s">
        <v>221</v>
      </c>
      <c r="C87" s="12" t="s">
        <v>2</v>
      </c>
      <c r="D87" s="10">
        <v>0</v>
      </c>
      <c r="E87" s="12">
        <v>1</v>
      </c>
      <c r="F87" s="3" t="s">
        <v>222</v>
      </c>
      <c r="G87">
        <v>1791</v>
      </c>
      <c r="H87">
        <v>1791</v>
      </c>
      <c r="I87">
        <v>1791</v>
      </c>
      <c r="J87" s="15">
        <v>1699</v>
      </c>
      <c r="K87">
        <v>48</v>
      </c>
      <c r="L87" t="s">
        <v>29</v>
      </c>
      <c r="M87" t="s">
        <v>223</v>
      </c>
      <c r="N87">
        <v>24</v>
      </c>
      <c r="O87">
        <f>1593-12.418*N87+0.065*N87*N87</f>
        <v>1332.4080000000001</v>
      </c>
      <c r="P87">
        <f>1451-5.739*N87</f>
        <v>1313.2640000000001</v>
      </c>
      <c r="Q87" s="7"/>
      <c r="R87" s="7" t="s">
        <v>224</v>
      </c>
      <c r="T87">
        <v>-1</v>
      </c>
      <c r="U87">
        <v>-1</v>
      </c>
      <c r="V87" s="6">
        <v>95.2</v>
      </c>
      <c r="W87" s="6">
        <v>88.4</v>
      </c>
      <c r="X87" s="7" t="s">
        <v>225</v>
      </c>
      <c r="Y87">
        <v>0.29508834620072188</v>
      </c>
      <c r="Z87">
        <v>0.29722056108179934</v>
      </c>
      <c r="AB87">
        <f>H87/[1]Sheet1!$H$97</f>
        <v>0.89733124896516281</v>
      </c>
      <c r="AD87" t="e">
        <f t="shared" si="4"/>
        <v>#VALUE!</v>
      </c>
      <c r="AG87">
        <f t="shared" si="5"/>
        <v>14.266586931926369</v>
      </c>
    </row>
    <row r="88" spans="1:33" ht="45" x14ac:dyDescent="0.25">
      <c r="A88" s="9" t="s">
        <v>226</v>
      </c>
      <c r="B88" s="3" t="s">
        <v>227</v>
      </c>
      <c r="C88" s="12" t="s">
        <v>2</v>
      </c>
      <c r="D88" s="10">
        <v>0</v>
      </c>
      <c r="E88" s="12">
        <v>1</v>
      </c>
      <c r="F88" s="3" t="s">
        <v>222</v>
      </c>
      <c r="G88">
        <v>1839</v>
      </c>
      <c r="H88">
        <v>1839</v>
      </c>
      <c r="I88">
        <v>1839</v>
      </c>
      <c r="J88" s="15">
        <v>1666</v>
      </c>
      <c r="K88">
        <v>17</v>
      </c>
      <c r="L88" t="s">
        <v>29</v>
      </c>
      <c r="M88" t="s">
        <v>223</v>
      </c>
      <c r="N88">
        <v>15</v>
      </c>
      <c r="O88">
        <f>740+730</f>
        <v>1470</v>
      </c>
      <c r="P88">
        <f>740+730</f>
        <v>1470</v>
      </c>
      <c r="Q88">
        <f>740+730</f>
        <v>1470</v>
      </c>
      <c r="R88" t="s">
        <v>1147</v>
      </c>
      <c r="S88" t="s">
        <v>879</v>
      </c>
      <c r="V88" s="6">
        <v>95.9</v>
      </c>
      <c r="W88" s="6">
        <v>93</v>
      </c>
      <c r="X88" s="7" t="s">
        <v>228</v>
      </c>
      <c r="Y88">
        <v>0.30299691159303604</v>
      </c>
      <c r="Z88">
        <v>0.30518627126154607</v>
      </c>
      <c r="AB88">
        <f>H88/[1]Sheet1!$H$97</f>
        <v>0.9213803276643967</v>
      </c>
      <c r="AD88" t="e">
        <f t="shared" si="4"/>
        <v>#VALUE!</v>
      </c>
      <c r="AG88">
        <f t="shared" si="5"/>
        <v>5.1881666114462828</v>
      </c>
    </row>
    <row r="89" spans="1:33" ht="45" x14ac:dyDescent="0.25">
      <c r="A89" s="9" t="s">
        <v>229</v>
      </c>
      <c r="B89" s="3" t="s">
        <v>230</v>
      </c>
      <c r="C89" s="12" t="s">
        <v>2</v>
      </c>
      <c r="D89" s="10">
        <v>0</v>
      </c>
      <c r="E89" s="12">
        <v>1</v>
      </c>
      <c r="F89" s="3" t="s">
        <v>222</v>
      </c>
      <c r="G89">
        <v>1825</v>
      </c>
      <c r="H89">
        <v>1825</v>
      </c>
      <c r="I89">
        <v>1825</v>
      </c>
      <c r="J89" s="15">
        <v>1871</v>
      </c>
      <c r="K89">
        <v>40</v>
      </c>
      <c r="L89" t="s">
        <v>29</v>
      </c>
      <c r="M89" t="s">
        <v>223</v>
      </c>
      <c r="N89">
        <v>26</v>
      </c>
      <c r="O89">
        <f>659+675</f>
        <v>1334</v>
      </c>
      <c r="P89">
        <f>659+675</f>
        <v>1334</v>
      </c>
      <c r="Q89">
        <f>659+675</f>
        <v>1334</v>
      </c>
      <c r="R89" t="s">
        <v>1148</v>
      </c>
      <c r="S89" t="s">
        <v>880</v>
      </c>
      <c r="V89" s="6">
        <v>93.7</v>
      </c>
      <c r="W89" s="6">
        <v>87</v>
      </c>
      <c r="X89" s="7" t="s">
        <v>231</v>
      </c>
      <c r="Y89">
        <v>0.30069024668694444</v>
      </c>
      <c r="Z89">
        <v>0.3028629391257866</v>
      </c>
      <c r="AB89">
        <f>H89/[1]Sheet1!$H$97</f>
        <v>0.91436601304378673</v>
      </c>
      <c r="AD89" t="e">
        <f t="shared" si="4"/>
        <v>#VALUE!</v>
      </c>
      <c r="AG89">
        <f t="shared" si="5"/>
        <v>12.114517565031464</v>
      </c>
    </row>
    <row r="90" spans="1:33" ht="45" x14ac:dyDescent="0.25">
      <c r="A90" s="9" t="s">
        <v>232</v>
      </c>
      <c r="B90" s="3" t="s">
        <v>233</v>
      </c>
      <c r="C90" s="12" t="s">
        <v>53</v>
      </c>
      <c r="D90" s="10">
        <v>0</v>
      </c>
      <c r="E90" s="12">
        <v>0</v>
      </c>
      <c r="F90" s="3" t="s">
        <v>24</v>
      </c>
      <c r="J90" s="12">
        <v>839</v>
      </c>
      <c r="M90" t="s">
        <v>223</v>
      </c>
      <c r="N90">
        <v>65</v>
      </c>
      <c r="Y90">
        <v>0</v>
      </c>
      <c r="Z90">
        <v>0</v>
      </c>
      <c r="AB90">
        <f>H90/[1]Sheet1!$H$97</f>
        <v>0</v>
      </c>
      <c r="AD90" t="e">
        <f t="shared" si="4"/>
        <v>#VALUE!</v>
      </c>
      <c r="AG90">
        <f t="shared" si="5"/>
        <v>0</v>
      </c>
    </row>
    <row r="91" spans="1:33" x14ac:dyDescent="0.25">
      <c r="A91" s="54" t="s">
        <v>234</v>
      </c>
      <c r="B91" s="50" t="s">
        <v>235</v>
      </c>
      <c r="C91" s="12" t="s">
        <v>2</v>
      </c>
      <c r="D91" s="12">
        <v>1</v>
      </c>
      <c r="E91" s="12">
        <v>1</v>
      </c>
      <c r="F91" s="50" t="s">
        <v>165</v>
      </c>
      <c r="J91" s="55">
        <v>3000</v>
      </c>
      <c r="M91" t="s">
        <v>223</v>
      </c>
      <c r="N91">
        <v>78</v>
      </c>
      <c r="V91" s="6">
        <v>78</v>
      </c>
      <c r="X91" s="6" t="s">
        <v>236</v>
      </c>
      <c r="Y91">
        <v>0</v>
      </c>
      <c r="Z91">
        <v>0</v>
      </c>
      <c r="AB91">
        <f>H91/[1]Sheet1!$H$97</f>
        <v>0</v>
      </c>
      <c r="AD91" t="e">
        <f t="shared" si="4"/>
        <v>#VALUE!</v>
      </c>
      <c r="AG91">
        <f t="shared" si="5"/>
        <v>0</v>
      </c>
    </row>
    <row r="92" spans="1:33" ht="30" x14ac:dyDescent="0.25">
      <c r="A92" s="54"/>
      <c r="B92" s="50"/>
      <c r="C92" s="3" t="s">
        <v>237</v>
      </c>
      <c r="D92" s="3"/>
      <c r="E92" s="12">
        <v>1</v>
      </c>
      <c r="F92" s="50"/>
      <c r="J92" s="55"/>
      <c r="M92" t="s">
        <v>223</v>
      </c>
      <c r="Y92">
        <v>0</v>
      </c>
      <c r="Z92">
        <v>0</v>
      </c>
      <c r="AB92">
        <f>H92/[1]Sheet1!$H$97</f>
        <v>0</v>
      </c>
      <c r="AD92" t="e">
        <f t="shared" si="4"/>
        <v>#VALUE!</v>
      </c>
      <c r="AG92">
        <f t="shared" si="5"/>
        <v>0</v>
      </c>
    </row>
    <row r="93" spans="1:33" ht="45" x14ac:dyDescent="0.25">
      <c r="A93" s="9" t="s">
        <v>238</v>
      </c>
      <c r="B93" s="3" t="s">
        <v>230</v>
      </c>
      <c r="C93" s="12" t="s">
        <v>2</v>
      </c>
      <c r="D93" s="12">
        <v>0</v>
      </c>
      <c r="E93" s="12">
        <v>1</v>
      </c>
      <c r="F93" s="3" t="s">
        <v>24</v>
      </c>
      <c r="G93">
        <v>1201</v>
      </c>
      <c r="H93">
        <v>1201</v>
      </c>
      <c r="I93">
        <v>1201</v>
      </c>
      <c r="J93" s="12">
        <v>875</v>
      </c>
      <c r="K93">
        <v>53</v>
      </c>
      <c r="L93" t="s">
        <v>29</v>
      </c>
      <c r="M93" t="s">
        <v>223</v>
      </c>
      <c r="N93">
        <v>73</v>
      </c>
      <c r="O93">
        <f>440+460</f>
        <v>900</v>
      </c>
      <c r="P93">
        <f>440+460</f>
        <v>900</v>
      </c>
      <c r="Q93">
        <f>440+460</f>
        <v>900</v>
      </c>
      <c r="R93" t="s">
        <v>1149</v>
      </c>
      <c r="S93" t="s">
        <v>239</v>
      </c>
      <c r="V93" s="6">
        <v>67</v>
      </c>
      <c r="W93" s="6">
        <v>43</v>
      </c>
      <c r="X93" s="7" t="s">
        <v>239</v>
      </c>
      <c r="Y93">
        <v>0.19787889658686042</v>
      </c>
      <c r="Z93">
        <v>0.1993087067890793</v>
      </c>
      <c r="AB93">
        <f>H93/[1]Sheet1!$H$97</f>
        <v>0.60172798995374677</v>
      </c>
      <c r="AD93" t="e">
        <f t="shared" si="4"/>
        <v>#VALUE!</v>
      </c>
      <c r="AG93">
        <f t="shared" si="5"/>
        <v>10.563361459821204</v>
      </c>
    </row>
    <row r="94" spans="1:33" ht="45" x14ac:dyDescent="0.25">
      <c r="A94" s="9" t="s">
        <v>240</v>
      </c>
      <c r="B94" s="3" t="s">
        <v>241</v>
      </c>
      <c r="C94" s="12" t="s">
        <v>2</v>
      </c>
      <c r="D94" s="12">
        <v>0</v>
      </c>
      <c r="E94" s="12">
        <v>1</v>
      </c>
      <c r="F94" s="3" t="s">
        <v>24</v>
      </c>
      <c r="J94" s="12">
        <v>528</v>
      </c>
      <c r="M94" t="s">
        <v>223</v>
      </c>
      <c r="N94">
        <v>89</v>
      </c>
      <c r="V94" s="6">
        <v>75</v>
      </c>
      <c r="W94" s="6">
        <v>51</v>
      </c>
      <c r="X94" s="6" t="s">
        <v>242</v>
      </c>
      <c r="Y94">
        <v>0</v>
      </c>
      <c r="Z94">
        <v>0</v>
      </c>
      <c r="AB94">
        <f>H94/[1]Sheet1!$H$97</f>
        <v>0</v>
      </c>
      <c r="AD94" t="e">
        <f t="shared" si="4"/>
        <v>#VALUE!</v>
      </c>
      <c r="AG94">
        <f t="shared" si="5"/>
        <v>0</v>
      </c>
    </row>
    <row r="95" spans="1:33" ht="45" x14ac:dyDescent="0.25">
      <c r="A95" s="9" t="s">
        <v>243</v>
      </c>
      <c r="B95" s="3" t="s">
        <v>244</v>
      </c>
      <c r="C95" s="12" t="s">
        <v>53</v>
      </c>
      <c r="D95" s="12">
        <v>0</v>
      </c>
      <c r="E95" s="12">
        <v>0</v>
      </c>
      <c r="F95" s="3" t="s">
        <v>44</v>
      </c>
      <c r="G95">
        <v>9192</v>
      </c>
      <c r="H95">
        <v>9192</v>
      </c>
      <c r="I95">
        <v>9192</v>
      </c>
      <c r="J95" s="15">
        <v>11435</v>
      </c>
      <c r="K95">
        <v>42</v>
      </c>
      <c r="L95" t="s">
        <v>29</v>
      </c>
      <c r="M95" t="s">
        <v>223</v>
      </c>
      <c r="N95">
        <v>83</v>
      </c>
      <c r="O95">
        <f>440+445</f>
        <v>885</v>
      </c>
      <c r="P95">
        <f>440+445</f>
        <v>885</v>
      </c>
      <c r="Q95">
        <f>440+445</f>
        <v>885</v>
      </c>
      <c r="R95" t="s">
        <v>1150</v>
      </c>
      <c r="S95" t="s">
        <v>964</v>
      </c>
      <c r="V95" s="6">
        <v>79</v>
      </c>
      <c r="W95" s="6">
        <v>60</v>
      </c>
      <c r="X95" s="7" t="s">
        <v>245</v>
      </c>
      <c r="Y95">
        <v>1.5144902726281606</v>
      </c>
      <c r="Z95">
        <v>1.5254334994214962</v>
      </c>
      <c r="AB95">
        <f>H95/[1]Sheet1!$H$97</f>
        <v>4.6053985709032812</v>
      </c>
      <c r="AD95" t="e">
        <f t="shared" si="4"/>
        <v>#VALUE!</v>
      </c>
      <c r="AG95">
        <f t="shared" si="5"/>
        <v>64.068206975702836</v>
      </c>
    </row>
    <row r="96" spans="1:33" ht="60" x14ac:dyDescent="0.25">
      <c r="A96" s="9" t="s">
        <v>246</v>
      </c>
      <c r="B96" s="3" t="s">
        <v>247</v>
      </c>
      <c r="C96" s="12" t="s">
        <v>53</v>
      </c>
      <c r="D96" s="12">
        <v>0</v>
      </c>
      <c r="E96" s="12">
        <v>0</v>
      </c>
      <c r="F96" s="3" t="s">
        <v>24</v>
      </c>
      <c r="G96">
        <v>6000</v>
      </c>
      <c r="H96">
        <v>6000</v>
      </c>
      <c r="I96" t="s">
        <v>28</v>
      </c>
      <c r="J96" s="15">
        <v>5494</v>
      </c>
      <c r="K96">
        <v>9</v>
      </c>
      <c r="L96" t="s">
        <v>29</v>
      </c>
      <c r="M96" t="s">
        <v>223</v>
      </c>
      <c r="N96">
        <v>95</v>
      </c>
      <c r="O96">
        <f>1593-12.418*N96+0.065*N96*N96</f>
        <v>999.91499999999996</v>
      </c>
      <c r="P96">
        <f>1451-5.739*N96</f>
        <v>905.79499999999996</v>
      </c>
      <c r="R96" t="s">
        <v>248</v>
      </c>
      <c r="T96">
        <v>-1</v>
      </c>
      <c r="V96" s="6">
        <v>56</v>
      </c>
      <c r="X96" s="7" t="s">
        <v>249</v>
      </c>
      <c r="Y96">
        <v>0.98857067403926935</v>
      </c>
      <c r="Z96" t="s">
        <v>28</v>
      </c>
      <c r="AB96">
        <f>H96/[1]Sheet1!$H$97</f>
        <v>3.0061348374042307</v>
      </c>
      <c r="AD96" t="e">
        <f t="shared" si="4"/>
        <v>#VALUE!</v>
      </c>
      <c r="AG96" t="s">
        <v>28</v>
      </c>
    </row>
    <row r="97" spans="1:33" ht="75" x14ac:dyDescent="0.25">
      <c r="A97" s="9" t="s">
        <v>250</v>
      </c>
      <c r="B97" s="3" t="s">
        <v>251</v>
      </c>
      <c r="C97" s="12" t="s">
        <v>53</v>
      </c>
      <c r="D97" s="12">
        <v>0</v>
      </c>
      <c r="E97" s="12">
        <v>0</v>
      </c>
      <c r="F97" s="3" t="s">
        <v>24</v>
      </c>
      <c r="G97">
        <v>2000</v>
      </c>
      <c r="H97">
        <v>2000</v>
      </c>
      <c r="I97">
        <v>2000</v>
      </c>
      <c r="J97" s="15">
        <v>2452</v>
      </c>
      <c r="K97">
        <v>41</v>
      </c>
      <c r="L97" t="s">
        <v>108</v>
      </c>
      <c r="M97" t="s">
        <v>223</v>
      </c>
      <c r="N97">
        <v>84</v>
      </c>
      <c r="O97">
        <f>1593-12.418*N97+0.065*N97*N97</f>
        <v>1008.5280000000001</v>
      </c>
      <c r="P97">
        <f>1451-5.739*N97</f>
        <v>968.92399999999998</v>
      </c>
      <c r="R97" t="s">
        <v>252</v>
      </c>
      <c r="T97">
        <v>-1</v>
      </c>
      <c r="U97">
        <v>-1</v>
      </c>
      <c r="V97" s="6">
        <v>73</v>
      </c>
      <c r="W97" s="6">
        <v>62</v>
      </c>
      <c r="X97" s="7" t="s">
        <v>253</v>
      </c>
      <c r="Y97">
        <v>0.3295235580130898</v>
      </c>
      <c r="Z97">
        <v>0.33190459082277984</v>
      </c>
      <c r="AB97">
        <f>H97/[1]Sheet1!$H$97</f>
        <v>1.0020449458014102</v>
      </c>
      <c r="AD97" t="e">
        <f t="shared" si="4"/>
        <v>#VALUE!</v>
      </c>
      <c r="AG97">
        <f>K97*Z97</f>
        <v>13.608088223733974</v>
      </c>
    </row>
    <row r="98" spans="1:33" ht="60" x14ac:dyDescent="0.25">
      <c r="A98" s="9" t="s">
        <v>254</v>
      </c>
      <c r="B98" s="3" t="s">
        <v>255</v>
      </c>
      <c r="C98" s="12" t="s">
        <v>53</v>
      </c>
      <c r="D98" s="12">
        <v>0</v>
      </c>
      <c r="E98" s="12">
        <v>0</v>
      </c>
      <c r="F98" s="3" t="s">
        <v>24</v>
      </c>
      <c r="G98">
        <v>1072</v>
      </c>
      <c r="H98">
        <v>1072</v>
      </c>
      <c r="I98">
        <v>1072</v>
      </c>
      <c r="J98" s="15">
        <v>1193</v>
      </c>
      <c r="K98">
        <v>36</v>
      </c>
      <c r="L98" t="s">
        <v>29</v>
      </c>
      <c r="M98" t="s">
        <v>223</v>
      </c>
      <c r="N98">
        <v>63</v>
      </c>
      <c r="O98">
        <f>1593-12.418*N98+0.065*N98*N98</f>
        <v>1068.6510000000001</v>
      </c>
      <c r="P98">
        <f>1451-5.739*N98</f>
        <v>1089.443</v>
      </c>
      <c r="R98" t="s">
        <v>256</v>
      </c>
      <c r="T98">
        <v>-1</v>
      </c>
      <c r="U98">
        <v>-1</v>
      </c>
      <c r="V98" s="6">
        <v>64</v>
      </c>
      <c r="W98" s="6">
        <v>49</v>
      </c>
      <c r="X98" s="7" t="s">
        <v>257</v>
      </c>
      <c r="Y98">
        <v>0.17662462709501614</v>
      </c>
      <c r="Z98">
        <v>0.17790086068100999</v>
      </c>
      <c r="AB98">
        <f>H98/[1]Sheet1!$H$97</f>
        <v>0.5370960909495559</v>
      </c>
      <c r="AD98" t="e">
        <f t="shared" si="4"/>
        <v>#VALUE!</v>
      </c>
      <c r="AG98">
        <f>K98*Z98</f>
        <v>6.4044309845163596</v>
      </c>
    </row>
    <row r="99" spans="1:33" ht="60" x14ac:dyDescent="0.25">
      <c r="A99" s="9" t="s">
        <v>258</v>
      </c>
      <c r="B99" s="3" t="s">
        <v>259</v>
      </c>
      <c r="C99" s="12" t="s">
        <v>53</v>
      </c>
      <c r="D99" s="12">
        <v>0</v>
      </c>
      <c r="E99" s="12">
        <v>0</v>
      </c>
      <c r="F99" s="3" t="s">
        <v>222</v>
      </c>
      <c r="G99">
        <v>1200</v>
      </c>
      <c r="H99">
        <v>1200</v>
      </c>
      <c r="I99">
        <v>1200</v>
      </c>
      <c r="J99" s="15">
        <v>1149</v>
      </c>
      <c r="K99">
        <v>36</v>
      </c>
      <c r="L99" t="s">
        <v>29</v>
      </c>
      <c r="M99" t="s">
        <v>223</v>
      </c>
      <c r="N99">
        <v>85</v>
      </c>
      <c r="O99">
        <f>1593-12.418*N99+0.065*N99*N99</f>
        <v>1007.095</v>
      </c>
      <c r="P99">
        <f>1451-5.739*N99</f>
        <v>963.18499999999995</v>
      </c>
      <c r="R99" t="s">
        <v>260</v>
      </c>
      <c r="T99">
        <v>-1</v>
      </c>
      <c r="U99">
        <v>-1</v>
      </c>
      <c r="V99" s="6">
        <v>65</v>
      </c>
      <c r="W99" s="6">
        <v>38</v>
      </c>
      <c r="X99" s="7" t="s">
        <v>261</v>
      </c>
      <c r="Y99">
        <v>0.19771413480785388</v>
      </c>
      <c r="Z99">
        <v>0.19914275449366792</v>
      </c>
      <c r="AB99">
        <f>H99/[1]Sheet1!$H$97</f>
        <v>0.60122696748084614</v>
      </c>
      <c r="AD99" t="e">
        <f t="shared" si="4"/>
        <v>#VALUE!</v>
      </c>
      <c r="AG99">
        <f>K99*Z99</f>
        <v>7.169139161772045</v>
      </c>
    </row>
    <row r="100" spans="1:33" ht="75" x14ac:dyDescent="0.25">
      <c r="A100" s="9" t="s">
        <v>262</v>
      </c>
      <c r="B100" s="3" t="s">
        <v>263</v>
      </c>
      <c r="C100" s="12" t="s">
        <v>53</v>
      </c>
      <c r="D100" s="12">
        <v>0</v>
      </c>
      <c r="E100" s="12">
        <v>0</v>
      </c>
      <c r="F100" s="3" t="s">
        <v>222</v>
      </c>
      <c r="J100" s="15">
        <v>1548</v>
      </c>
      <c r="M100" t="s">
        <v>223</v>
      </c>
      <c r="N100">
        <v>78</v>
      </c>
      <c r="V100" s="6">
        <v>60</v>
      </c>
      <c r="W100" s="6">
        <v>38</v>
      </c>
      <c r="X100" s="7" t="s">
        <v>264</v>
      </c>
      <c r="Y100">
        <v>0</v>
      </c>
      <c r="Z100">
        <v>0</v>
      </c>
      <c r="AB100">
        <f>H100/[1]Sheet1!$H$97</f>
        <v>0</v>
      </c>
      <c r="AD100" t="e">
        <f t="shared" si="4"/>
        <v>#VALUE!</v>
      </c>
      <c r="AG100">
        <f>K100*Z100</f>
        <v>0</v>
      </c>
    </row>
    <row r="101" spans="1:33" ht="45" x14ac:dyDescent="0.25">
      <c r="A101" s="9" t="s">
        <v>265</v>
      </c>
      <c r="B101" s="12" t="s">
        <v>266</v>
      </c>
      <c r="C101" s="12" t="s">
        <v>2</v>
      </c>
      <c r="D101" s="12">
        <v>0</v>
      </c>
      <c r="E101" s="12">
        <v>1</v>
      </c>
      <c r="F101" s="3" t="s">
        <v>165</v>
      </c>
      <c r="G101">
        <v>2653</v>
      </c>
      <c r="H101">
        <v>2653</v>
      </c>
      <c r="I101">
        <v>2653</v>
      </c>
      <c r="J101" s="15">
        <v>3312</v>
      </c>
      <c r="K101">
        <v>56</v>
      </c>
      <c r="L101" t="s">
        <v>29</v>
      </c>
      <c r="M101" t="s">
        <v>223</v>
      </c>
      <c r="N101">
        <v>86</v>
      </c>
      <c r="O101">
        <f>1593-12.418*N101+0.065*N101*N101</f>
        <v>1005.7920000000001</v>
      </c>
      <c r="P101">
        <f>1451-5.739*N101</f>
        <v>957.44600000000003</v>
      </c>
      <c r="V101" s="6">
        <v>74</v>
      </c>
      <c r="W101" s="6">
        <v>61</v>
      </c>
      <c r="X101" s="6" t="s">
        <v>267</v>
      </c>
      <c r="Y101">
        <v>0.43711299970436363</v>
      </c>
      <c r="Z101">
        <v>0.44027143972641747</v>
      </c>
      <c r="AB101">
        <f>H101/[1]Sheet1!$H$97</f>
        <v>1.3292126206055705</v>
      </c>
      <c r="AD101" t="e">
        <f t="shared" si="4"/>
        <v>#VALUE!</v>
      </c>
      <c r="AG101">
        <f>K101*Z101</f>
        <v>24.655200624679377</v>
      </c>
    </row>
    <row r="102" spans="1:33" ht="60" x14ac:dyDescent="0.25">
      <c r="A102" s="9" t="s">
        <v>268</v>
      </c>
      <c r="B102" s="12" t="s">
        <v>269</v>
      </c>
      <c r="C102" s="12" t="s">
        <v>53</v>
      </c>
      <c r="D102" s="12">
        <v>0</v>
      </c>
      <c r="E102" s="12">
        <v>0</v>
      </c>
      <c r="F102" s="3" t="s">
        <v>165</v>
      </c>
      <c r="G102" t="s">
        <v>28</v>
      </c>
      <c r="H102" t="s">
        <v>28</v>
      </c>
      <c r="I102" t="s">
        <v>28</v>
      </c>
      <c r="J102" s="15">
        <v>10974</v>
      </c>
      <c r="M102" t="s">
        <v>223</v>
      </c>
      <c r="N102">
        <v>82</v>
      </c>
      <c r="V102" s="6">
        <v>63</v>
      </c>
      <c r="W102" s="6">
        <v>35</v>
      </c>
      <c r="X102" t="s">
        <v>270</v>
      </c>
      <c r="Y102" t="s">
        <v>28</v>
      </c>
      <c r="Z102" t="s">
        <v>28</v>
      </c>
      <c r="AB102" t="e">
        <f>H102/[1]Sheet1!$H$97</f>
        <v>#VALUE!</v>
      </c>
      <c r="AD102" t="e">
        <f t="shared" si="4"/>
        <v>#VALUE!</v>
      </c>
      <c r="AG102" t="s">
        <v>28</v>
      </c>
    </row>
    <row r="103" spans="1:33" ht="75" x14ac:dyDescent="0.25">
      <c r="A103" s="3" t="s">
        <v>271</v>
      </c>
      <c r="B103" s="3" t="s">
        <v>272</v>
      </c>
      <c r="C103" s="16" t="s">
        <v>2</v>
      </c>
      <c r="D103" s="12">
        <v>0</v>
      </c>
      <c r="E103" s="16">
        <v>1</v>
      </c>
      <c r="F103" s="3" t="s">
        <v>273</v>
      </c>
      <c r="J103" s="17">
        <v>1200</v>
      </c>
      <c r="M103" t="s">
        <v>274</v>
      </c>
      <c r="Y103">
        <v>0</v>
      </c>
      <c r="Z103">
        <v>0</v>
      </c>
      <c r="AB103">
        <f>H103/[1]Sheet1!$H$97</f>
        <v>0</v>
      </c>
      <c r="AD103" t="e">
        <f t="shared" si="4"/>
        <v>#VALUE!</v>
      </c>
      <c r="AG103">
        <f>K103*Z103</f>
        <v>0</v>
      </c>
    </row>
    <row r="104" spans="1:33" ht="45" x14ac:dyDescent="0.25">
      <c r="A104" s="3" t="s">
        <v>275</v>
      </c>
      <c r="B104" s="3" t="s">
        <v>276</v>
      </c>
      <c r="C104" s="16" t="s">
        <v>2</v>
      </c>
      <c r="D104" s="12">
        <v>0</v>
      </c>
      <c r="E104" s="16">
        <v>1</v>
      </c>
      <c r="F104" s="3" t="s">
        <v>24</v>
      </c>
      <c r="J104" s="16">
        <v>1373</v>
      </c>
      <c r="M104" t="s">
        <v>274</v>
      </c>
      <c r="Y104">
        <v>0</v>
      </c>
      <c r="Z104">
        <v>0</v>
      </c>
      <c r="AB104">
        <f>H104/[1]Sheet1!$H$97</f>
        <v>0</v>
      </c>
      <c r="AD104" t="e">
        <f t="shared" si="4"/>
        <v>#VALUE!</v>
      </c>
      <c r="AG104">
        <f>K104*Z104</f>
        <v>0</v>
      </c>
    </row>
    <row r="105" spans="1:33" x14ac:dyDescent="0.25">
      <c r="A105" s="50" t="s">
        <v>277</v>
      </c>
      <c r="B105" s="50" t="s">
        <v>278</v>
      </c>
      <c r="C105" s="16" t="s">
        <v>2</v>
      </c>
      <c r="D105" s="12">
        <v>0</v>
      </c>
      <c r="E105" s="16">
        <v>1</v>
      </c>
      <c r="F105" s="50" t="s">
        <v>24</v>
      </c>
      <c r="J105" s="52">
        <v>650</v>
      </c>
      <c r="M105" t="s">
        <v>274</v>
      </c>
      <c r="Y105">
        <v>0</v>
      </c>
      <c r="Z105">
        <v>0</v>
      </c>
      <c r="AB105">
        <f>H105/[1]Sheet1!$H$97</f>
        <v>0</v>
      </c>
      <c r="AD105" t="e">
        <f t="shared" si="4"/>
        <v>#VALUE!</v>
      </c>
      <c r="AG105">
        <f>K105*Z105</f>
        <v>0</v>
      </c>
    </row>
    <row r="106" spans="1:33" ht="30" x14ac:dyDescent="0.25">
      <c r="A106" s="50"/>
      <c r="B106" s="50"/>
      <c r="C106" s="18" t="s">
        <v>279</v>
      </c>
      <c r="D106" s="12">
        <v>0</v>
      </c>
      <c r="E106" s="16">
        <v>1</v>
      </c>
      <c r="F106" s="50"/>
      <c r="G106">
        <v>600</v>
      </c>
      <c r="H106">
        <v>600</v>
      </c>
      <c r="I106">
        <v>600</v>
      </c>
      <c r="J106" s="52"/>
      <c r="K106">
        <v>50</v>
      </c>
      <c r="L106" t="s">
        <v>29</v>
      </c>
      <c r="M106" t="s">
        <v>274</v>
      </c>
      <c r="N106">
        <v>60</v>
      </c>
      <c r="O106">
        <f>1593-12.418*N106+0.065*N106*N106</f>
        <v>1081.92</v>
      </c>
      <c r="P106">
        <f>1451-5.739*N106</f>
        <v>1106.6600000000001</v>
      </c>
      <c r="R106" t="s">
        <v>280</v>
      </c>
      <c r="T106">
        <v>-1</v>
      </c>
      <c r="U106">
        <v>-1</v>
      </c>
      <c r="V106" s="6">
        <v>69</v>
      </c>
      <c r="W106" s="6">
        <v>54</v>
      </c>
      <c r="X106" s="6" t="s">
        <v>281</v>
      </c>
      <c r="Y106">
        <v>9.885706740392694E-2</v>
      </c>
      <c r="Z106">
        <v>9.9571377246833959E-2</v>
      </c>
      <c r="AB106">
        <f>H106/[1]Sheet1!$H$97</f>
        <v>0.30061348374042307</v>
      </c>
      <c r="AD106" t="e">
        <f t="shared" si="4"/>
        <v>#VALUE!</v>
      </c>
      <c r="AG106">
        <f>K106*Z106</f>
        <v>4.9785688623416977</v>
      </c>
    </row>
    <row r="107" spans="1:33" ht="45" x14ac:dyDescent="0.25">
      <c r="A107" s="3" t="s">
        <v>282</v>
      </c>
      <c r="B107" s="3" t="s">
        <v>283</v>
      </c>
      <c r="C107" s="16" t="s">
        <v>2</v>
      </c>
      <c r="D107" s="12">
        <v>0</v>
      </c>
      <c r="E107" s="16">
        <v>1</v>
      </c>
      <c r="F107" s="3" t="s">
        <v>44</v>
      </c>
      <c r="G107">
        <v>4276</v>
      </c>
      <c r="H107">
        <v>4276</v>
      </c>
      <c r="I107">
        <v>4276</v>
      </c>
      <c r="J107" s="17">
        <v>5780</v>
      </c>
      <c r="K107">
        <v>61</v>
      </c>
      <c r="L107" t="s">
        <v>134</v>
      </c>
      <c r="M107" t="s">
        <v>274</v>
      </c>
      <c r="N107">
        <v>10</v>
      </c>
      <c r="O107" s="49">
        <f>705+683</f>
        <v>1388</v>
      </c>
      <c r="P107" s="49">
        <f>705+683</f>
        <v>1388</v>
      </c>
      <c r="Q107" s="49">
        <f>705+683</f>
        <v>1388</v>
      </c>
      <c r="R107" s="49" t="s">
        <v>1151</v>
      </c>
      <c r="S107" t="s">
        <v>881</v>
      </c>
      <c r="T107" t="s">
        <v>28</v>
      </c>
      <c r="U107" t="s">
        <v>28</v>
      </c>
      <c r="V107" s="6">
        <v>98</v>
      </c>
      <c r="W107" s="6">
        <v>95</v>
      </c>
      <c r="X107" s="6" t="s">
        <v>284</v>
      </c>
      <c r="Y107">
        <v>0.70452136703198598</v>
      </c>
      <c r="Z107">
        <v>0.70961201517910333</v>
      </c>
      <c r="AB107">
        <f>H107/[1]Sheet1!$H$97</f>
        <v>2.1423720941234148</v>
      </c>
      <c r="AD107" t="e">
        <f t="shared" si="4"/>
        <v>#VALUE!</v>
      </c>
      <c r="AG107">
        <f>K107*Z107</f>
        <v>43.286332925925301</v>
      </c>
    </row>
    <row r="108" spans="1:33" ht="60" x14ac:dyDescent="0.25">
      <c r="A108" s="3" t="s">
        <v>285</v>
      </c>
      <c r="B108" s="3" t="s">
        <v>286</v>
      </c>
      <c r="C108" s="16" t="s">
        <v>2</v>
      </c>
      <c r="D108" s="12">
        <v>0</v>
      </c>
      <c r="E108" s="16">
        <v>1</v>
      </c>
      <c r="F108" s="3" t="s">
        <v>24</v>
      </c>
      <c r="J108" s="17">
        <v>2267</v>
      </c>
      <c r="K108" t="s">
        <v>287</v>
      </c>
      <c r="M108" t="s">
        <v>274</v>
      </c>
      <c r="N108">
        <v>93</v>
      </c>
      <c r="V108" s="6">
        <v>67</v>
      </c>
      <c r="W108" s="6"/>
      <c r="X108" s="6" t="s">
        <v>288</v>
      </c>
      <c r="Y108">
        <v>0</v>
      </c>
      <c r="Z108">
        <v>0</v>
      </c>
      <c r="AB108">
        <f>H108/[1]Sheet1!$H$97</f>
        <v>0</v>
      </c>
      <c r="AD108" t="e">
        <f t="shared" si="4"/>
        <v>#VALUE!</v>
      </c>
      <c r="AG108" t="s">
        <v>28</v>
      </c>
    </row>
    <row r="109" spans="1:33" ht="45" x14ac:dyDescent="0.25">
      <c r="A109" s="3" t="s">
        <v>289</v>
      </c>
      <c r="B109" s="3" t="s">
        <v>290</v>
      </c>
      <c r="C109" s="16" t="s">
        <v>53</v>
      </c>
      <c r="D109" s="12">
        <v>0</v>
      </c>
      <c r="E109" s="16">
        <v>0</v>
      </c>
      <c r="F109" s="3" t="s">
        <v>24</v>
      </c>
      <c r="J109" s="17">
        <v>1540</v>
      </c>
      <c r="K109" t="s">
        <v>291</v>
      </c>
      <c r="M109" t="s">
        <v>274</v>
      </c>
      <c r="N109">
        <v>100</v>
      </c>
      <c r="V109" s="6">
        <v>66</v>
      </c>
      <c r="W109" s="6">
        <v>56</v>
      </c>
      <c r="X109" s="6" t="s">
        <v>292</v>
      </c>
      <c r="Y109">
        <v>0</v>
      </c>
      <c r="Z109">
        <v>0</v>
      </c>
      <c r="AB109">
        <f>H109/[1]Sheet1!$H$97</f>
        <v>0</v>
      </c>
      <c r="AD109" t="e">
        <f t="shared" si="4"/>
        <v>#VALUE!</v>
      </c>
      <c r="AG109" t="s">
        <v>28</v>
      </c>
    </row>
    <row r="110" spans="1:33" ht="45" x14ac:dyDescent="0.25">
      <c r="A110" s="3" t="s">
        <v>293</v>
      </c>
      <c r="B110" s="3" t="s">
        <v>272</v>
      </c>
      <c r="C110" s="16" t="s">
        <v>53</v>
      </c>
      <c r="D110" s="12">
        <v>0</v>
      </c>
      <c r="E110" s="16">
        <v>0</v>
      </c>
      <c r="F110" s="3" t="s">
        <v>19</v>
      </c>
      <c r="G110">
        <v>4658</v>
      </c>
      <c r="H110">
        <v>4658</v>
      </c>
      <c r="I110">
        <v>4658</v>
      </c>
      <c r="J110" s="17">
        <v>5443</v>
      </c>
      <c r="K110">
        <v>6</v>
      </c>
      <c r="L110" t="s">
        <v>29</v>
      </c>
      <c r="M110" t="s">
        <v>274</v>
      </c>
      <c r="N110">
        <v>82</v>
      </c>
      <c r="O110">
        <v>995</v>
      </c>
      <c r="P110">
        <v>995</v>
      </c>
      <c r="Q110">
        <v>995</v>
      </c>
      <c r="R110" t="s">
        <v>882</v>
      </c>
      <c r="S110" t="s">
        <v>883</v>
      </c>
      <c r="T110" t="s">
        <v>28</v>
      </c>
      <c r="U110" t="s">
        <v>28</v>
      </c>
      <c r="V110" s="6">
        <v>76</v>
      </c>
      <c r="W110" s="6">
        <v>63</v>
      </c>
      <c r="X110" s="6" t="s">
        <v>294</v>
      </c>
      <c r="Y110">
        <v>0.76746036661248618</v>
      </c>
      <c r="Z110">
        <v>0.7730057920262543</v>
      </c>
      <c r="AB110">
        <f>H110/[1]Sheet1!$H$97</f>
        <v>2.3337626787714845</v>
      </c>
      <c r="AD110" t="e">
        <f t="shared" si="4"/>
        <v>#VALUE!</v>
      </c>
      <c r="AG110">
        <f t="shared" ref="AG110:AG131" si="6">K110*Z110</f>
        <v>4.6380347521575258</v>
      </c>
    </row>
    <row r="111" spans="1:33" x14ac:dyDescent="0.25">
      <c r="A111" s="50" t="s">
        <v>295</v>
      </c>
      <c r="B111" s="50" t="s">
        <v>296</v>
      </c>
      <c r="C111" s="16" t="s">
        <v>2</v>
      </c>
      <c r="D111" s="12">
        <v>0</v>
      </c>
      <c r="E111" s="16">
        <v>1</v>
      </c>
      <c r="F111" s="50" t="s">
        <v>24</v>
      </c>
      <c r="J111" s="53">
        <v>2100</v>
      </c>
      <c r="M111" t="s">
        <v>274</v>
      </c>
      <c r="Y111">
        <v>0</v>
      </c>
      <c r="Z111">
        <v>0</v>
      </c>
      <c r="AB111">
        <f>H111/[1]Sheet1!$H$97</f>
        <v>0</v>
      </c>
      <c r="AD111" t="e">
        <f t="shared" si="4"/>
        <v>#VALUE!</v>
      </c>
      <c r="AG111">
        <f t="shared" si="6"/>
        <v>0</v>
      </c>
    </row>
    <row r="112" spans="1:33" ht="30" x14ac:dyDescent="0.25">
      <c r="A112" s="50"/>
      <c r="B112" s="50"/>
      <c r="C112" s="18" t="s">
        <v>279</v>
      </c>
      <c r="D112" s="12">
        <v>0</v>
      </c>
      <c r="E112" s="18"/>
      <c r="F112" s="50"/>
      <c r="J112" s="53"/>
      <c r="M112" t="s">
        <v>274</v>
      </c>
      <c r="Y112">
        <v>0</v>
      </c>
      <c r="Z112">
        <v>0</v>
      </c>
      <c r="AB112">
        <f>H112/[1]Sheet1!$H$97</f>
        <v>0</v>
      </c>
      <c r="AD112" t="e">
        <f t="shared" si="4"/>
        <v>#VALUE!</v>
      </c>
      <c r="AG112">
        <f t="shared" si="6"/>
        <v>0</v>
      </c>
    </row>
    <row r="113" spans="1:33" ht="64.5" x14ac:dyDescent="0.25">
      <c r="A113" s="3" t="s">
        <v>297</v>
      </c>
      <c r="B113" s="12" t="s">
        <v>298</v>
      </c>
      <c r="C113" s="16" t="s">
        <v>2</v>
      </c>
      <c r="D113" s="12">
        <v>0</v>
      </c>
      <c r="E113" s="16">
        <v>1</v>
      </c>
      <c r="F113" s="3" t="s">
        <v>24</v>
      </c>
      <c r="J113" s="17">
        <v>2017</v>
      </c>
      <c r="M113" t="s">
        <v>274</v>
      </c>
      <c r="N113">
        <v>90</v>
      </c>
      <c r="S113" t="s">
        <v>299</v>
      </c>
      <c r="W113" s="6">
        <v>37</v>
      </c>
      <c r="X113" s="14" t="s">
        <v>300</v>
      </c>
      <c r="Y113">
        <v>0</v>
      </c>
      <c r="Z113">
        <v>0</v>
      </c>
      <c r="AB113">
        <f>H113/[1]Sheet1!$H$97</f>
        <v>0</v>
      </c>
      <c r="AD113" t="e">
        <f t="shared" si="4"/>
        <v>#VALUE!</v>
      </c>
      <c r="AG113">
        <f t="shared" si="6"/>
        <v>0</v>
      </c>
    </row>
    <row r="114" spans="1:33" ht="60" x14ac:dyDescent="0.25">
      <c r="A114" s="3" t="s">
        <v>301</v>
      </c>
      <c r="B114" s="3" t="s">
        <v>302</v>
      </c>
      <c r="C114" s="16" t="s">
        <v>53</v>
      </c>
      <c r="D114" s="12">
        <v>0</v>
      </c>
      <c r="E114" s="16">
        <v>0</v>
      </c>
      <c r="F114" s="3" t="s">
        <v>19</v>
      </c>
      <c r="G114">
        <v>4238</v>
      </c>
      <c r="H114">
        <v>4238</v>
      </c>
      <c r="I114">
        <v>4238</v>
      </c>
      <c r="J114" s="17">
        <v>6738</v>
      </c>
      <c r="K114">
        <v>29</v>
      </c>
      <c r="L114" t="s">
        <v>29</v>
      </c>
      <c r="M114" t="s">
        <v>274</v>
      </c>
      <c r="N114">
        <v>78</v>
      </c>
      <c r="O114" s="41">
        <f>485+495</f>
        <v>980</v>
      </c>
      <c r="P114" s="41">
        <f>485+495</f>
        <v>980</v>
      </c>
      <c r="Q114" s="41">
        <f>485+495</f>
        <v>980</v>
      </c>
      <c r="R114" s="41" t="s">
        <v>1152</v>
      </c>
      <c r="S114" t="s">
        <v>884</v>
      </c>
      <c r="T114" t="s">
        <v>28</v>
      </c>
      <c r="U114" t="s">
        <v>28</v>
      </c>
      <c r="V114" s="6">
        <v>77</v>
      </c>
      <c r="W114" s="6">
        <v>56</v>
      </c>
      <c r="X114" s="6" t="s">
        <v>303</v>
      </c>
      <c r="Y114">
        <v>0.69826041942973727</v>
      </c>
      <c r="Z114">
        <v>0.70330582795347052</v>
      </c>
      <c r="AB114">
        <f>H114/[1]Sheet1!$H$97</f>
        <v>2.1233332401531881</v>
      </c>
      <c r="AD114" t="e">
        <f t="shared" si="4"/>
        <v>#VALUE!</v>
      </c>
      <c r="AG114">
        <f t="shared" si="6"/>
        <v>20.395869010650646</v>
      </c>
    </row>
    <row r="115" spans="1:33" x14ac:dyDescent="0.25">
      <c r="A115" s="50" t="s">
        <v>304</v>
      </c>
      <c r="B115" s="50" t="s">
        <v>278</v>
      </c>
      <c r="C115" s="16" t="s">
        <v>2</v>
      </c>
      <c r="D115" s="12">
        <v>1</v>
      </c>
      <c r="E115" s="16">
        <v>1</v>
      </c>
      <c r="F115" s="50" t="s">
        <v>19</v>
      </c>
      <c r="J115" s="53">
        <v>2216</v>
      </c>
      <c r="M115" t="s">
        <v>274</v>
      </c>
      <c r="Y115">
        <v>0</v>
      </c>
      <c r="Z115">
        <v>0</v>
      </c>
      <c r="AB115">
        <f>H115/[1]Sheet1!$H$97</f>
        <v>0</v>
      </c>
      <c r="AD115" t="e">
        <f t="shared" si="4"/>
        <v>#VALUE!</v>
      </c>
      <c r="AG115">
        <f t="shared" si="6"/>
        <v>0</v>
      </c>
    </row>
    <row r="116" spans="1:33" ht="30" x14ac:dyDescent="0.25">
      <c r="A116" s="50"/>
      <c r="B116" s="50"/>
      <c r="C116" s="18" t="s">
        <v>237</v>
      </c>
      <c r="D116" s="18"/>
      <c r="E116" s="18"/>
      <c r="F116" s="50"/>
      <c r="J116" s="53"/>
      <c r="M116" t="s">
        <v>274</v>
      </c>
      <c r="Y116">
        <v>0</v>
      </c>
      <c r="Z116">
        <v>0</v>
      </c>
      <c r="AB116">
        <f>H116/[1]Sheet1!$H$97</f>
        <v>0</v>
      </c>
      <c r="AD116" t="e">
        <f t="shared" si="4"/>
        <v>#VALUE!</v>
      </c>
      <c r="AG116">
        <f t="shared" si="6"/>
        <v>0</v>
      </c>
    </row>
    <row r="117" spans="1:33" x14ac:dyDescent="0.25">
      <c r="A117" s="50" t="s">
        <v>305</v>
      </c>
      <c r="B117" s="50" t="s">
        <v>306</v>
      </c>
      <c r="C117" s="16" t="s">
        <v>2</v>
      </c>
      <c r="D117" s="16">
        <v>1</v>
      </c>
      <c r="E117" s="16">
        <v>1</v>
      </c>
      <c r="F117" s="50" t="s">
        <v>24</v>
      </c>
      <c r="G117">
        <v>1954</v>
      </c>
      <c r="H117">
        <v>1954</v>
      </c>
      <c r="I117">
        <v>1954</v>
      </c>
      <c r="J117" s="53">
        <v>1986</v>
      </c>
      <c r="K117">
        <v>43</v>
      </c>
      <c r="L117" t="s">
        <v>29</v>
      </c>
      <c r="M117" t="s">
        <v>274</v>
      </c>
      <c r="N117">
        <v>74</v>
      </c>
      <c r="O117">
        <f>1593-12.418*N117+0.065*N117*N117</f>
        <v>1030.0080000000003</v>
      </c>
      <c r="P117">
        <f>1451-5.739*N117</f>
        <v>1026.3140000000001</v>
      </c>
      <c r="T117">
        <v>-1</v>
      </c>
      <c r="U117">
        <v>-1</v>
      </c>
      <c r="V117" s="6">
        <v>85</v>
      </c>
      <c r="W117" s="6">
        <v>74</v>
      </c>
      <c r="X117" s="6" t="s">
        <v>307</v>
      </c>
      <c r="Y117">
        <v>0.32194451617878872</v>
      </c>
      <c r="Z117">
        <v>0.32427078523385588</v>
      </c>
      <c r="AB117">
        <f>H117/[1]Sheet1!$H$97</f>
        <v>0.9789979120479777</v>
      </c>
      <c r="AD117" t="e">
        <f t="shared" si="4"/>
        <v>#VALUE!</v>
      </c>
      <c r="AG117">
        <f t="shared" si="6"/>
        <v>13.943643765055803</v>
      </c>
    </row>
    <row r="118" spans="1:33" ht="30" x14ac:dyDescent="0.25">
      <c r="A118" s="50"/>
      <c r="B118" s="50"/>
      <c r="C118" s="18" t="s">
        <v>237</v>
      </c>
      <c r="D118" s="18"/>
      <c r="E118" s="18"/>
      <c r="F118" s="50"/>
      <c r="J118" s="53"/>
      <c r="M118" t="s">
        <v>274</v>
      </c>
      <c r="Y118">
        <v>0</v>
      </c>
      <c r="Z118">
        <v>0</v>
      </c>
      <c r="AB118">
        <f>H118/[1]Sheet1!$H$97</f>
        <v>0</v>
      </c>
      <c r="AD118" t="e">
        <f t="shared" si="4"/>
        <v>#VALUE!</v>
      </c>
      <c r="AG118">
        <f t="shared" si="6"/>
        <v>0</v>
      </c>
    </row>
    <row r="119" spans="1:33" ht="90" x14ac:dyDescent="0.25">
      <c r="A119" s="3" t="s">
        <v>308</v>
      </c>
      <c r="B119" s="3" t="s">
        <v>296</v>
      </c>
      <c r="C119" s="16" t="s">
        <v>2</v>
      </c>
      <c r="D119" s="16">
        <v>0</v>
      </c>
      <c r="E119" s="16">
        <v>1</v>
      </c>
      <c r="F119" s="3" t="s">
        <v>19</v>
      </c>
      <c r="G119">
        <v>2900</v>
      </c>
      <c r="H119">
        <v>2900</v>
      </c>
      <c r="I119">
        <v>2900</v>
      </c>
      <c r="J119" s="17">
        <v>11253</v>
      </c>
      <c r="K119">
        <v>35</v>
      </c>
      <c r="L119" t="s">
        <v>29</v>
      </c>
      <c r="M119" t="s">
        <v>274</v>
      </c>
      <c r="N119">
        <v>78</v>
      </c>
      <c r="O119">
        <f>1593-12.418*N119+0.065*N119*N119</f>
        <v>1019.8560000000001</v>
      </c>
      <c r="P119">
        <f>1451-5.739*N119</f>
        <v>1003.3579999999999</v>
      </c>
      <c r="T119">
        <v>-1</v>
      </c>
      <c r="U119">
        <v>-1</v>
      </c>
      <c r="V119" s="6">
        <v>72</v>
      </c>
      <c r="W119" s="6">
        <v>55</v>
      </c>
      <c r="X119" s="6" t="s">
        <v>309</v>
      </c>
      <c r="Y119">
        <v>0.4778091591189802</v>
      </c>
      <c r="Z119">
        <v>0.48126165669303078</v>
      </c>
      <c r="AB119">
        <f>H119/[1]Sheet1!$H$97</f>
        <v>1.4529651714120448</v>
      </c>
      <c r="AD119" t="e">
        <f t="shared" si="4"/>
        <v>#VALUE!</v>
      </c>
      <c r="AG119">
        <f t="shared" si="6"/>
        <v>16.844157984256078</v>
      </c>
    </row>
    <row r="120" spans="1:33" x14ac:dyDescent="0.25">
      <c r="A120" s="50" t="s">
        <v>310</v>
      </c>
      <c r="B120" s="50" t="s">
        <v>311</v>
      </c>
      <c r="C120" s="16" t="s">
        <v>2</v>
      </c>
      <c r="D120" s="16">
        <v>1</v>
      </c>
      <c r="E120" s="16">
        <v>1</v>
      </c>
      <c r="F120" s="50" t="s">
        <v>24</v>
      </c>
      <c r="J120" s="52">
        <v>69</v>
      </c>
      <c r="M120" t="s">
        <v>274</v>
      </c>
      <c r="Y120">
        <v>0</v>
      </c>
      <c r="Z120">
        <v>0</v>
      </c>
      <c r="AB120">
        <f>H120/[1]Sheet1!$H$97</f>
        <v>0</v>
      </c>
      <c r="AD120" t="e">
        <f t="shared" si="4"/>
        <v>#VALUE!</v>
      </c>
      <c r="AG120">
        <f t="shared" si="6"/>
        <v>0</v>
      </c>
    </row>
    <row r="121" spans="1:33" ht="30" x14ac:dyDescent="0.25">
      <c r="A121" s="50"/>
      <c r="B121" s="50"/>
      <c r="C121" s="18" t="s">
        <v>237</v>
      </c>
      <c r="D121" s="18"/>
      <c r="E121" s="16">
        <v>1</v>
      </c>
      <c r="F121" s="50"/>
      <c r="J121" s="52"/>
      <c r="M121" t="s">
        <v>274</v>
      </c>
      <c r="Y121">
        <v>0</v>
      </c>
      <c r="Z121">
        <v>0</v>
      </c>
      <c r="AB121">
        <f>H121/[1]Sheet1!$H$97</f>
        <v>0</v>
      </c>
      <c r="AD121" t="e">
        <f t="shared" si="4"/>
        <v>#VALUE!</v>
      </c>
      <c r="AG121">
        <f t="shared" si="6"/>
        <v>0</v>
      </c>
    </row>
    <row r="122" spans="1:33" x14ac:dyDescent="0.25">
      <c r="A122" s="50" t="s">
        <v>312</v>
      </c>
      <c r="B122" s="50" t="s">
        <v>313</v>
      </c>
      <c r="C122" s="16" t="s">
        <v>2</v>
      </c>
      <c r="D122" s="16">
        <v>1</v>
      </c>
      <c r="E122" s="16">
        <v>1</v>
      </c>
      <c r="F122" s="50" t="s">
        <v>24</v>
      </c>
      <c r="J122" s="52">
        <v>84</v>
      </c>
      <c r="M122" t="s">
        <v>274</v>
      </c>
      <c r="Y122">
        <v>0</v>
      </c>
      <c r="Z122">
        <v>0</v>
      </c>
      <c r="AB122">
        <f>H122/[1]Sheet1!$H$97</f>
        <v>0</v>
      </c>
      <c r="AD122" t="e">
        <f t="shared" si="4"/>
        <v>#VALUE!</v>
      </c>
      <c r="AG122">
        <f t="shared" si="6"/>
        <v>0</v>
      </c>
    </row>
    <row r="123" spans="1:33" ht="30" x14ac:dyDescent="0.25">
      <c r="A123" s="50"/>
      <c r="B123" s="50"/>
      <c r="C123" s="18" t="s">
        <v>237</v>
      </c>
      <c r="D123" s="18"/>
      <c r="E123" s="16">
        <v>1</v>
      </c>
      <c r="F123" s="50"/>
      <c r="J123" s="52"/>
      <c r="M123" t="s">
        <v>274</v>
      </c>
      <c r="Y123">
        <v>0</v>
      </c>
      <c r="Z123">
        <v>0</v>
      </c>
      <c r="AB123">
        <f>H123/[1]Sheet1!$H$97</f>
        <v>0</v>
      </c>
      <c r="AD123" t="e">
        <f t="shared" si="4"/>
        <v>#VALUE!</v>
      </c>
      <c r="AG123">
        <f t="shared" si="6"/>
        <v>0</v>
      </c>
    </row>
    <row r="124" spans="1:33" ht="60" x14ac:dyDescent="0.25">
      <c r="A124" s="3" t="s">
        <v>314</v>
      </c>
      <c r="B124" s="3" t="s">
        <v>315</v>
      </c>
      <c r="C124" s="16" t="s">
        <v>53</v>
      </c>
      <c r="D124" s="16">
        <v>0</v>
      </c>
      <c r="E124" s="16">
        <v>0</v>
      </c>
      <c r="F124" s="3" t="s">
        <v>44</v>
      </c>
      <c r="G124">
        <v>12565</v>
      </c>
      <c r="H124">
        <v>12565</v>
      </c>
      <c r="I124">
        <v>12565</v>
      </c>
      <c r="J124" s="17">
        <v>14511</v>
      </c>
      <c r="K124">
        <v>33</v>
      </c>
      <c r="L124" t="s">
        <v>108</v>
      </c>
      <c r="M124" t="s">
        <v>274</v>
      </c>
      <c r="N124">
        <v>78</v>
      </c>
      <c r="O124" s="41">
        <f>550+555</f>
        <v>1105</v>
      </c>
      <c r="P124" s="41">
        <f>550+555</f>
        <v>1105</v>
      </c>
      <c r="Q124" s="41">
        <f>550+555</f>
        <v>1105</v>
      </c>
      <c r="R124" s="41" t="s">
        <v>1153</v>
      </c>
      <c r="S124" t="s">
        <v>965</v>
      </c>
      <c r="V124" s="6">
        <v>86</v>
      </c>
      <c r="W124" s="6">
        <v>76</v>
      </c>
      <c r="X124" s="6" t="s">
        <v>316</v>
      </c>
      <c r="Y124">
        <v>2.0702317532172367</v>
      </c>
      <c r="Z124">
        <v>2.0851905918441145</v>
      </c>
      <c r="AB124">
        <f>H124/[1]Sheet1!$H$97</f>
        <v>6.2953473719973596</v>
      </c>
      <c r="AD124" t="e">
        <f t="shared" si="4"/>
        <v>#VALUE!</v>
      </c>
      <c r="AG124">
        <f t="shared" si="6"/>
        <v>68.811289530855774</v>
      </c>
    </row>
    <row r="125" spans="1:33" ht="90" x14ac:dyDescent="0.25">
      <c r="A125" s="3" t="s">
        <v>317</v>
      </c>
      <c r="B125" s="3" t="s">
        <v>296</v>
      </c>
      <c r="C125" s="16" t="s">
        <v>53</v>
      </c>
      <c r="D125" s="16">
        <v>0</v>
      </c>
      <c r="E125" s="16">
        <v>0</v>
      </c>
      <c r="F125" s="3" t="s">
        <v>24</v>
      </c>
      <c r="J125" s="17">
        <v>1500</v>
      </c>
      <c r="M125" t="s">
        <v>274</v>
      </c>
      <c r="Y125">
        <v>0</v>
      </c>
      <c r="Z125">
        <v>0</v>
      </c>
      <c r="AB125">
        <f>H125/[1]Sheet1!$H$97</f>
        <v>0</v>
      </c>
      <c r="AD125" t="e">
        <f t="shared" si="4"/>
        <v>#VALUE!</v>
      </c>
      <c r="AG125">
        <f t="shared" si="6"/>
        <v>0</v>
      </c>
    </row>
    <row r="126" spans="1:33" x14ac:dyDescent="0.25">
      <c r="Y126">
        <v>0</v>
      </c>
      <c r="Z126">
        <v>0</v>
      </c>
      <c r="AB126">
        <f>H126/[1]Sheet1!$H$97</f>
        <v>0</v>
      </c>
      <c r="AD126" t="e">
        <f t="shared" si="4"/>
        <v>#VALUE!</v>
      </c>
      <c r="AG126">
        <f t="shared" si="6"/>
        <v>0</v>
      </c>
    </row>
    <row r="127" spans="1:33" x14ac:dyDescent="0.25">
      <c r="Y127">
        <v>0</v>
      </c>
      <c r="Z127">
        <v>0</v>
      </c>
      <c r="AB127">
        <f>H127/[1]Sheet1!$H$97</f>
        <v>0</v>
      </c>
      <c r="AD127" t="e">
        <f t="shared" si="4"/>
        <v>#VALUE!</v>
      </c>
      <c r="AG127">
        <f t="shared" si="6"/>
        <v>0</v>
      </c>
    </row>
    <row r="128" spans="1:33" ht="45" x14ac:dyDescent="0.25">
      <c r="A128" s="3" t="s">
        <v>318</v>
      </c>
      <c r="B128" s="18" t="s">
        <v>319</v>
      </c>
      <c r="C128" s="12" t="s">
        <v>2</v>
      </c>
      <c r="D128" s="12">
        <v>0</v>
      </c>
      <c r="E128" s="12">
        <v>1</v>
      </c>
      <c r="F128" s="3" t="s">
        <v>24</v>
      </c>
      <c r="J128" s="16">
        <v>826</v>
      </c>
      <c r="M128" s="19" t="s">
        <v>320</v>
      </c>
      <c r="N128">
        <v>65</v>
      </c>
      <c r="Y128">
        <v>0</v>
      </c>
      <c r="Z128">
        <v>0</v>
      </c>
      <c r="AB128">
        <f>H128/[1]Sheet1!$H$97</f>
        <v>0</v>
      </c>
      <c r="AD128" t="e">
        <f t="shared" si="4"/>
        <v>#VALUE!</v>
      </c>
      <c r="AG128">
        <f t="shared" si="6"/>
        <v>0</v>
      </c>
    </row>
    <row r="129" spans="1:33" ht="45" x14ac:dyDescent="0.25">
      <c r="A129" s="3" t="s">
        <v>321</v>
      </c>
      <c r="B129" s="18" t="s">
        <v>322</v>
      </c>
      <c r="C129" s="12" t="s">
        <v>2</v>
      </c>
      <c r="D129" s="12">
        <v>0</v>
      </c>
      <c r="E129" s="12">
        <v>1</v>
      </c>
      <c r="F129" s="3" t="s">
        <v>24</v>
      </c>
      <c r="J129" s="16">
        <v>224</v>
      </c>
      <c r="L129" s="19"/>
      <c r="M129" s="19" t="s">
        <v>320</v>
      </c>
      <c r="N129">
        <v>83</v>
      </c>
      <c r="Y129">
        <v>0</v>
      </c>
      <c r="Z129">
        <v>0</v>
      </c>
      <c r="AB129">
        <f>H129/[1]Sheet1!$H$97</f>
        <v>0</v>
      </c>
      <c r="AD129" t="e">
        <f t="shared" si="4"/>
        <v>#VALUE!</v>
      </c>
      <c r="AG129">
        <f t="shared" si="6"/>
        <v>0</v>
      </c>
    </row>
    <row r="130" spans="1:33" ht="45" x14ac:dyDescent="0.25">
      <c r="A130" s="3" t="s">
        <v>323</v>
      </c>
      <c r="B130" s="18" t="s">
        <v>324</v>
      </c>
      <c r="C130" s="12" t="s">
        <v>53</v>
      </c>
      <c r="D130" s="12">
        <v>0</v>
      </c>
      <c r="E130" s="12">
        <v>0</v>
      </c>
      <c r="F130" s="3" t="s">
        <v>24</v>
      </c>
      <c r="G130">
        <v>2191</v>
      </c>
      <c r="H130">
        <v>2191</v>
      </c>
      <c r="I130">
        <v>2191</v>
      </c>
      <c r="J130" s="17">
        <v>2191</v>
      </c>
      <c r="K130">
        <v>44</v>
      </c>
      <c r="L130" s="19" t="s">
        <v>29</v>
      </c>
      <c r="M130" s="19" t="s">
        <v>320</v>
      </c>
      <c r="N130">
        <v>79</v>
      </c>
      <c r="O130">
        <f>468+484</f>
        <v>952</v>
      </c>
      <c r="P130">
        <f>468+484</f>
        <v>952</v>
      </c>
      <c r="Q130">
        <f>468+484</f>
        <v>952</v>
      </c>
      <c r="R130" t="s">
        <v>885</v>
      </c>
      <c r="V130" s="6">
        <v>74</v>
      </c>
      <c r="W130" s="6">
        <v>51</v>
      </c>
      <c r="X130" s="6" t="s">
        <v>326</v>
      </c>
      <c r="Y130">
        <v>0.36099305780333985</v>
      </c>
      <c r="Z130">
        <v>0.36360147924635533</v>
      </c>
      <c r="AB130">
        <f>H130/[1]Sheet1!$H$97</f>
        <v>1.0977402381254449</v>
      </c>
      <c r="AD130" t="e">
        <f t="shared" si="4"/>
        <v>#VALUE!</v>
      </c>
      <c r="AG130">
        <f t="shared" si="6"/>
        <v>15.998465086839634</v>
      </c>
    </row>
    <row r="131" spans="1:33" ht="45" x14ac:dyDescent="0.25">
      <c r="A131" s="3" t="s">
        <v>327</v>
      </c>
      <c r="B131" s="18" t="s">
        <v>322</v>
      </c>
      <c r="C131" s="12" t="s">
        <v>2</v>
      </c>
      <c r="D131" s="12">
        <v>0</v>
      </c>
      <c r="E131" s="12">
        <v>1</v>
      </c>
      <c r="F131" s="3" t="s">
        <v>24</v>
      </c>
      <c r="J131" s="17">
        <v>2000</v>
      </c>
      <c r="L131" s="19"/>
      <c r="M131" s="19" t="s">
        <v>320</v>
      </c>
      <c r="N131">
        <v>71</v>
      </c>
      <c r="O131" t="s">
        <v>28</v>
      </c>
      <c r="P131" t="s">
        <v>28</v>
      </c>
      <c r="Q131" t="s">
        <v>28</v>
      </c>
      <c r="R131" t="s">
        <v>28</v>
      </c>
      <c r="Y131">
        <v>0</v>
      </c>
      <c r="Z131">
        <v>0</v>
      </c>
      <c r="AB131">
        <f>H131/[1]Sheet1!$H$97</f>
        <v>0</v>
      </c>
      <c r="AD131" t="e">
        <f t="shared" ref="AD131:AD194" si="7">AD130+Y131</f>
        <v>#VALUE!</v>
      </c>
      <c r="AG131">
        <f t="shared" si="6"/>
        <v>0</v>
      </c>
    </row>
    <row r="132" spans="1:33" x14ac:dyDescent="0.25">
      <c r="A132" s="50" t="s">
        <v>328</v>
      </c>
      <c r="B132" s="51" t="s">
        <v>329</v>
      </c>
      <c r="C132" s="12" t="s">
        <v>2</v>
      </c>
      <c r="D132" s="12">
        <v>1</v>
      </c>
      <c r="E132" s="12">
        <v>1</v>
      </c>
      <c r="F132" s="50" t="s">
        <v>19</v>
      </c>
      <c r="G132">
        <v>418</v>
      </c>
      <c r="H132">
        <v>418</v>
      </c>
      <c r="I132" t="s">
        <v>28</v>
      </c>
      <c r="J132" s="52">
        <v>350</v>
      </c>
      <c r="K132">
        <v>41</v>
      </c>
      <c r="L132" s="19" t="s">
        <v>29</v>
      </c>
      <c r="M132" s="19" t="s">
        <v>320</v>
      </c>
      <c r="N132">
        <v>73</v>
      </c>
      <c r="O132">
        <f>1593-12.418*N132+0.065*N132*N132</f>
        <v>1032.8710000000001</v>
      </c>
      <c r="P132">
        <f>1451-5.739*N132</f>
        <v>1032.0529999999999</v>
      </c>
      <c r="R132" t="s">
        <v>330</v>
      </c>
      <c r="T132">
        <v>-1</v>
      </c>
      <c r="V132" s="6">
        <v>67</v>
      </c>
      <c r="W132" s="6"/>
      <c r="X132" s="14" t="s">
        <v>331</v>
      </c>
      <c r="Y132">
        <v>6.8870423624735763E-2</v>
      </c>
      <c r="Z132" t="s">
        <v>28</v>
      </c>
      <c r="AB132">
        <f>H132/[1]Sheet1!$H$97</f>
        <v>0.20942739367249472</v>
      </c>
      <c r="AD132" t="e">
        <f t="shared" si="7"/>
        <v>#VALUE!</v>
      </c>
      <c r="AG132" t="s">
        <v>28</v>
      </c>
    </row>
    <row r="133" spans="1:33" ht="30" x14ac:dyDescent="0.25">
      <c r="A133" s="50"/>
      <c r="B133" s="51"/>
      <c r="C133" s="3" t="s">
        <v>237</v>
      </c>
      <c r="D133" s="3"/>
      <c r="E133" s="3"/>
      <c r="F133" s="50"/>
      <c r="J133" s="52"/>
      <c r="L133" s="19"/>
      <c r="M133" s="19" t="s">
        <v>320</v>
      </c>
      <c r="Y133">
        <v>0</v>
      </c>
      <c r="Z133">
        <v>0</v>
      </c>
      <c r="AB133">
        <f>H133/[1]Sheet1!$H$97</f>
        <v>0</v>
      </c>
      <c r="AD133" t="e">
        <f t="shared" si="7"/>
        <v>#VALUE!</v>
      </c>
      <c r="AG133">
        <f>K133*Z133</f>
        <v>0</v>
      </c>
    </row>
    <row r="134" spans="1:33" ht="45" x14ac:dyDescent="0.25">
      <c r="A134" s="3" t="s">
        <v>332</v>
      </c>
      <c r="B134" s="18" t="s">
        <v>333</v>
      </c>
      <c r="C134" s="12" t="s">
        <v>2</v>
      </c>
      <c r="D134" s="12">
        <v>0</v>
      </c>
      <c r="E134" s="12">
        <v>1</v>
      </c>
      <c r="F134" s="3" t="s">
        <v>19</v>
      </c>
      <c r="J134" s="16">
        <v>700</v>
      </c>
      <c r="K134" t="s">
        <v>287</v>
      </c>
      <c r="L134" s="19"/>
      <c r="M134" s="19" t="s">
        <v>320</v>
      </c>
      <c r="N134">
        <v>80</v>
      </c>
      <c r="V134" s="6">
        <v>68</v>
      </c>
      <c r="W134" s="6">
        <v>66</v>
      </c>
      <c r="X134" s="6" t="s">
        <v>334</v>
      </c>
      <c r="Y134">
        <v>0</v>
      </c>
      <c r="Z134">
        <v>0</v>
      </c>
      <c r="AB134">
        <f>H134/[1]Sheet1!$H$97</f>
        <v>0</v>
      </c>
      <c r="AD134" t="e">
        <f t="shared" si="7"/>
        <v>#VALUE!</v>
      </c>
      <c r="AG134" t="s">
        <v>28</v>
      </c>
    </row>
    <row r="135" spans="1:33" x14ac:dyDescent="0.25">
      <c r="A135" s="50" t="s">
        <v>335</v>
      </c>
      <c r="B135" s="51" t="s">
        <v>336</v>
      </c>
      <c r="C135" s="12" t="s">
        <v>2</v>
      </c>
      <c r="D135" s="12">
        <v>1</v>
      </c>
      <c r="E135" s="12">
        <v>1</v>
      </c>
      <c r="F135" s="50" t="s">
        <v>24</v>
      </c>
      <c r="J135" s="52">
        <v>826</v>
      </c>
      <c r="K135" t="s">
        <v>287</v>
      </c>
      <c r="L135" s="19"/>
      <c r="M135" s="19" t="s">
        <v>320</v>
      </c>
      <c r="N135">
        <v>76</v>
      </c>
      <c r="V135" s="6">
        <v>70</v>
      </c>
      <c r="W135" s="6">
        <v>44</v>
      </c>
      <c r="X135" s="6" t="s">
        <v>337</v>
      </c>
      <c r="Y135">
        <v>0</v>
      </c>
      <c r="Z135">
        <v>0</v>
      </c>
      <c r="AB135">
        <f>H135/[1]Sheet1!$H$97</f>
        <v>0</v>
      </c>
      <c r="AD135" t="e">
        <f t="shared" si="7"/>
        <v>#VALUE!</v>
      </c>
      <c r="AG135" t="s">
        <v>28</v>
      </c>
    </row>
    <row r="136" spans="1:33" ht="30" x14ac:dyDescent="0.25">
      <c r="A136" s="50"/>
      <c r="B136" s="51"/>
      <c r="C136" s="3" t="s">
        <v>338</v>
      </c>
      <c r="D136" s="3"/>
      <c r="E136" s="3"/>
      <c r="F136" s="50"/>
      <c r="J136" s="52"/>
      <c r="L136" s="19"/>
      <c r="M136" s="19" t="s">
        <v>320</v>
      </c>
      <c r="Y136">
        <v>0</v>
      </c>
      <c r="Z136">
        <v>0</v>
      </c>
      <c r="AB136">
        <f>H136/[1]Sheet1!$H$97</f>
        <v>0</v>
      </c>
      <c r="AD136" t="e">
        <f t="shared" si="7"/>
        <v>#VALUE!</v>
      </c>
      <c r="AG136">
        <f t="shared" ref="AG136:AG144" si="8">K136*Z136</f>
        <v>0</v>
      </c>
    </row>
    <row r="137" spans="1:33" ht="45" x14ac:dyDescent="0.25">
      <c r="A137" s="3" t="s">
        <v>339</v>
      </c>
      <c r="B137" s="18" t="s">
        <v>340</v>
      </c>
      <c r="C137" s="12" t="s">
        <v>53</v>
      </c>
      <c r="D137" s="12">
        <v>0</v>
      </c>
      <c r="E137" s="12">
        <v>0</v>
      </c>
      <c r="F137" s="3" t="s">
        <v>19</v>
      </c>
      <c r="J137" s="17">
        <v>1759</v>
      </c>
      <c r="K137">
        <v>13</v>
      </c>
      <c r="M137" s="19" t="s">
        <v>320</v>
      </c>
      <c r="O137" s="7"/>
      <c r="P137" s="7"/>
      <c r="Q137" s="7"/>
      <c r="R137" s="7" t="s">
        <v>325</v>
      </c>
      <c r="Y137">
        <v>0</v>
      </c>
      <c r="Z137">
        <v>0</v>
      </c>
      <c r="AB137">
        <f>H137/[1]Sheet1!$H$97</f>
        <v>0</v>
      </c>
      <c r="AD137" t="e">
        <f t="shared" si="7"/>
        <v>#VALUE!</v>
      </c>
      <c r="AG137">
        <f t="shared" si="8"/>
        <v>0</v>
      </c>
    </row>
    <row r="138" spans="1:33" ht="45" x14ac:dyDescent="0.25">
      <c r="A138" s="3" t="s">
        <v>341</v>
      </c>
      <c r="B138" s="18" t="s">
        <v>342</v>
      </c>
      <c r="C138" s="12" t="s">
        <v>53</v>
      </c>
      <c r="D138" s="12">
        <v>0</v>
      </c>
      <c r="E138" s="12">
        <v>0</v>
      </c>
      <c r="F138" s="3" t="s">
        <v>24</v>
      </c>
      <c r="G138">
        <v>1519</v>
      </c>
      <c r="H138">
        <v>1519</v>
      </c>
      <c r="I138">
        <v>1519</v>
      </c>
      <c r="J138" s="17">
        <v>1519</v>
      </c>
      <c r="K138">
        <v>21</v>
      </c>
      <c r="L138" t="s">
        <v>29</v>
      </c>
      <c r="M138" s="19" t="s">
        <v>320</v>
      </c>
      <c r="N138">
        <v>99</v>
      </c>
      <c r="O138">
        <f>475+475</f>
        <v>950</v>
      </c>
      <c r="P138">
        <f>475+475</f>
        <v>950</v>
      </c>
      <c r="Q138">
        <f>475+475</f>
        <v>950</v>
      </c>
      <c r="R138" t="s">
        <v>1154</v>
      </c>
      <c r="S138" t="s">
        <v>966</v>
      </c>
      <c r="V138" s="6">
        <v>64</v>
      </c>
      <c r="W138" s="6">
        <v>30</v>
      </c>
      <c r="X138" s="6" t="s">
        <v>343</v>
      </c>
      <c r="Y138">
        <v>0.25027314231094172</v>
      </c>
      <c r="Z138">
        <v>0.2520815367299013</v>
      </c>
      <c r="AB138">
        <f>H138/[1]Sheet1!$H$97</f>
        <v>0.761053136336171</v>
      </c>
      <c r="AD138" t="e">
        <f t="shared" si="7"/>
        <v>#VALUE!</v>
      </c>
      <c r="AG138">
        <f t="shared" si="8"/>
        <v>5.2937122713279274</v>
      </c>
    </row>
    <row r="139" spans="1:33" ht="45" x14ac:dyDescent="0.25">
      <c r="A139" s="3" t="s">
        <v>344</v>
      </c>
      <c r="B139" s="18" t="s">
        <v>345</v>
      </c>
      <c r="C139" s="12" t="s">
        <v>2</v>
      </c>
      <c r="D139" s="12">
        <v>0</v>
      </c>
      <c r="E139" s="12">
        <v>1</v>
      </c>
      <c r="F139" s="3" t="s">
        <v>24</v>
      </c>
      <c r="J139" s="18" t="s">
        <v>346</v>
      </c>
      <c r="M139" s="19" t="s">
        <v>320</v>
      </c>
      <c r="Y139">
        <v>0</v>
      </c>
      <c r="Z139">
        <v>0</v>
      </c>
      <c r="AB139">
        <f>H139/[1]Sheet1!$H$97</f>
        <v>0</v>
      </c>
      <c r="AD139" t="e">
        <f t="shared" si="7"/>
        <v>#VALUE!</v>
      </c>
      <c r="AG139">
        <f t="shared" si="8"/>
        <v>0</v>
      </c>
    </row>
    <row r="140" spans="1:33" ht="45" x14ac:dyDescent="0.25">
      <c r="A140" s="3" t="s">
        <v>347</v>
      </c>
      <c r="B140" s="18" t="s">
        <v>348</v>
      </c>
      <c r="C140" s="12" t="s">
        <v>2</v>
      </c>
      <c r="D140" s="12">
        <v>0</v>
      </c>
      <c r="E140" s="12">
        <v>1</v>
      </c>
      <c r="F140" s="3" t="s">
        <v>24</v>
      </c>
      <c r="G140">
        <v>2526</v>
      </c>
      <c r="H140">
        <v>2526</v>
      </c>
      <c r="I140">
        <v>2526</v>
      </c>
      <c r="J140" s="17">
        <v>2484</v>
      </c>
      <c r="K140">
        <v>48</v>
      </c>
      <c r="L140" t="s">
        <v>29</v>
      </c>
      <c r="M140" s="19" t="s">
        <v>320</v>
      </c>
      <c r="N140">
        <v>18</v>
      </c>
      <c r="O140">
        <f>685+700</f>
        <v>1385</v>
      </c>
      <c r="P140">
        <f>685+700</f>
        <v>1385</v>
      </c>
      <c r="Q140">
        <f>685+700</f>
        <v>1385</v>
      </c>
      <c r="R140" t="s">
        <v>1155</v>
      </c>
      <c r="S140" t="s">
        <v>886</v>
      </c>
      <c r="V140" s="6">
        <v>97</v>
      </c>
      <c r="W140" s="6">
        <v>93</v>
      </c>
      <c r="X140" s="6" t="s">
        <v>349</v>
      </c>
      <c r="Y140">
        <v>0.41618825377053242</v>
      </c>
      <c r="Z140">
        <v>0.41919549820917096</v>
      </c>
      <c r="AB140">
        <f>H140/[1]Sheet1!$H$97</f>
        <v>1.265582766547181</v>
      </c>
      <c r="AD140" t="e">
        <f t="shared" si="7"/>
        <v>#VALUE!</v>
      </c>
      <c r="AG140">
        <f t="shared" si="8"/>
        <v>20.121383914040205</v>
      </c>
    </row>
    <row r="141" spans="1:33" ht="45" x14ac:dyDescent="0.25">
      <c r="A141" s="3" t="s">
        <v>350</v>
      </c>
      <c r="B141" s="18" t="s">
        <v>351</v>
      </c>
      <c r="C141" s="12" t="s">
        <v>2</v>
      </c>
      <c r="D141" s="12">
        <v>0</v>
      </c>
      <c r="E141" s="12">
        <v>1</v>
      </c>
      <c r="F141" s="3" t="s">
        <v>19</v>
      </c>
      <c r="J141" s="17">
        <v>3400</v>
      </c>
      <c r="M141" s="19" t="s">
        <v>320</v>
      </c>
      <c r="N141">
        <v>63</v>
      </c>
      <c r="R141" t="s">
        <v>352</v>
      </c>
      <c r="V141" s="6">
        <v>80</v>
      </c>
      <c r="W141" s="6">
        <v>55</v>
      </c>
      <c r="X141" s="6" t="s">
        <v>353</v>
      </c>
      <c r="Y141">
        <v>0</v>
      </c>
      <c r="Z141">
        <v>0</v>
      </c>
      <c r="AB141">
        <f>H141/[1]Sheet1!$H$97</f>
        <v>0</v>
      </c>
      <c r="AD141" t="e">
        <f t="shared" si="7"/>
        <v>#VALUE!</v>
      </c>
      <c r="AG141">
        <f t="shared" si="8"/>
        <v>0</v>
      </c>
    </row>
    <row r="142" spans="1:33" x14ac:dyDescent="0.25">
      <c r="A142" s="50" t="s">
        <v>354</v>
      </c>
      <c r="B142" s="51" t="s">
        <v>355</v>
      </c>
      <c r="C142" s="12" t="s">
        <v>2</v>
      </c>
      <c r="D142" s="12">
        <v>1</v>
      </c>
      <c r="E142" s="12">
        <v>1</v>
      </c>
      <c r="F142" s="50" t="s">
        <v>24</v>
      </c>
      <c r="G142">
        <v>1899</v>
      </c>
      <c r="H142">
        <v>1899</v>
      </c>
      <c r="I142">
        <v>1899</v>
      </c>
      <c r="J142" s="53">
        <v>2316</v>
      </c>
      <c r="K142">
        <v>37</v>
      </c>
      <c r="L142" t="s">
        <v>108</v>
      </c>
      <c r="M142" s="19" t="s">
        <v>320</v>
      </c>
      <c r="N142">
        <v>75</v>
      </c>
      <c r="O142">
        <f>1593-12.418*N142+0.065*N142*N142</f>
        <v>1027.2750000000001</v>
      </c>
      <c r="P142">
        <f>1451-5.739*N142</f>
        <v>1020.575</v>
      </c>
      <c r="R142" t="s">
        <v>356</v>
      </c>
      <c r="V142" s="6">
        <v>90</v>
      </c>
      <c r="W142" s="6">
        <v>75</v>
      </c>
      <c r="X142" s="6" t="s">
        <v>357</v>
      </c>
      <c r="Y142">
        <v>0.31288261833342879</v>
      </c>
      <c r="Z142">
        <v>0.31514340898622945</v>
      </c>
      <c r="AB142">
        <f>H142/[1]Sheet1!$H$97</f>
        <v>0.95144167603843899</v>
      </c>
      <c r="AD142" t="e">
        <f t="shared" si="7"/>
        <v>#VALUE!</v>
      </c>
      <c r="AG142">
        <f t="shared" si="8"/>
        <v>11.66030613249049</v>
      </c>
    </row>
    <row r="143" spans="1:33" ht="30" x14ac:dyDescent="0.25">
      <c r="A143" s="50"/>
      <c r="B143" s="51"/>
      <c r="C143" s="3" t="s">
        <v>237</v>
      </c>
      <c r="D143" s="3"/>
      <c r="E143" s="3"/>
      <c r="F143" s="50"/>
      <c r="J143" s="53"/>
      <c r="L143" s="19"/>
      <c r="M143" s="19" t="s">
        <v>320</v>
      </c>
      <c r="Y143">
        <v>0</v>
      </c>
      <c r="Z143">
        <v>0</v>
      </c>
      <c r="AB143">
        <f>H143/[1]Sheet1!$H$97</f>
        <v>0</v>
      </c>
      <c r="AD143" t="e">
        <f t="shared" si="7"/>
        <v>#VALUE!</v>
      </c>
      <c r="AG143">
        <f t="shared" si="8"/>
        <v>0</v>
      </c>
    </row>
    <row r="144" spans="1:33" ht="45" x14ac:dyDescent="0.25">
      <c r="A144" s="3" t="s">
        <v>358</v>
      </c>
      <c r="B144" s="18" t="s">
        <v>319</v>
      </c>
      <c r="C144" s="12" t="s">
        <v>2</v>
      </c>
      <c r="D144" s="12">
        <v>0</v>
      </c>
      <c r="E144" s="12">
        <v>1</v>
      </c>
      <c r="F144" s="3" t="s">
        <v>24</v>
      </c>
      <c r="J144" s="16">
        <v>650</v>
      </c>
      <c r="L144" s="19"/>
      <c r="M144" s="19" t="s">
        <v>320</v>
      </c>
      <c r="Y144">
        <v>0</v>
      </c>
      <c r="Z144">
        <v>0</v>
      </c>
      <c r="AB144">
        <f>H144/[1]Sheet1!$H$97</f>
        <v>0</v>
      </c>
      <c r="AD144" t="e">
        <f t="shared" si="7"/>
        <v>#VALUE!</v>
      </c>
      <c r="AG144">
        <f t="shared" si="8"/>
        <v>0</v>
      </c>
    </row>
    <row r="145" spans="1:33" ht="45" x14ac:dyDescent="0.25">
      <c r="A145" s="3" t="s">
        <v>359</v>
      </c>
      <c r="B145" s="18" t="s">
        <v>360</v>
      </c>
      <c r="C145" s="12" t="s">
        <v>2</v>
      </c>
      <c r="D145" s="12">
        <v>0</v>
      </c>
      <c r="E145" s="12">
        <v>1</v>
      </c>
      <c r="F145" s="3" t="s">
        <v>24</v>
      </c>
      <c r="J145" s="16">
        <v>125</v>
      </c>
      <c r="K145" t="s">
        <v>287</v>
      </c>
      <c r="L145" s="19"/>
      <c r="M145" s="19" t="s">
        <v>320</v>
      </c>
      <c r="N145">
        <v>90</v>
      </c>
      <c r="Y145">
        <v>0</v>
      </c>
      <c r="Z145">
        <v>0</v>
      </c>
      <c r="AB145">
        <f>H145/[1]Sheet1!$H$97</f>
        <v>0</v>
      </c>
      <c r="AD145" t="e">
        <f t="shared" si="7"/>
        <v>#VALUE!</v>
      </c>
      <c r="AG145" t="s">
        <v>28</v>
      </c>
    </row>
    <row r="146" spans="1:33" ht="45" x14ac:dyDescent="0.25">
      <c r="A146" s="3" t="s">
        <v>361</v>
      </c>
      <c r="B146" s="18" t="s">
        <v>322</v>
      </c>
      <c r="C146" s="12" t="s">
        <v>53</v>
      </c>
      <c r="D146" s="12">
        <v>0</v>
      </c>
      <c r="E146" s="12">
        <v>0</v>
      </c>
      <c r="F146" s="3" t="s">
        <v>44</v>
      </c>
      <c r="G146">
        <v>10459</v>
      </c>
      <c r="H146" t="s">
        <v>28</v>
      </c>
      <c r="I146" t="s">
        <v>28</v>
      </c>
      <c r="J146" s="17">
        <v>12000</v>
      </c>
      <c r="L146" s="19"/>
      <c r="M146" s="19" t="s">
        <v>320</v>
      </c>
      <c r="N146">
        <v>78</v>
      </c>
      <c r="R146" t="s">
        <v>362</v>
      </c>
      <c r="V146" s="6">
        <v>86</v>
      </c>
      <c r="W146" s="6">
        <v>75</v>
      </c>
      <c r="X146" s="6" t="s">
        <v>363</v>
      </c>
      <c r="Y146" t="s">
        <v>28</v>
      </c>
      <c r="Z146" t="s">
        <v>28</v>
      </c>
      <c r="AB146" t="e">
        <f>H146/[1]Sheet1!$H$97</f>
        <v>#VALUE!</v>
      </c>
      <c r="AD146" t="e">
        <f t="shared" si="7"/>
        <v>#VALUE!</v>
      </c>
      <c r="AG146" t="s">
        <v>28</v>
      </c>
    </row>
    <row r="147" spans="1:33" x14ac:dyDescent="0.25">
      <c r="A147" s="20" t="s">
        <v>364</v>
      </c>
      <c r="G147" s="21"/>
      <c r="H147" s="21"/>
      <c r="I147" s="21"/>
      <c r="M147" s="19" t="s">
        <v>365</v>
      </c>
      <c r="Y147">
        <v>0</v>
      </c>
      <c r="Z147">
        <v>0</v>
      </c>
      <c r="AB147">
        <f>H147/[1]Sheet1!$H$97</f>
        <v>0</v>
      </c>
      <c r="AD147" t="e">
        <f t="shared" si="7"/>
        <v>#VALUE!</v>
      </c>
      <c r="AG147">
        <f t="shared" ref="AG147:AG176" si="9">K147*Z147</f>
        <v>0</v>
      </c>
    </row>
    <row r="148" spans="1:33" x14ac:dyDescent="0.25">
      <c r="A148" s="22" t="s">
        <v>366</v>
      </c>
      <c r="D148" s="12">
        <v>0</v>
      </c>
      <c r="E148" s="12">
        <v>0</v>
      </c>
      <c r="F148">
        <v>75</v>
      </c>
      <c r="G148" s="21">
        <v>13777</v>
      </c>
      <c r="H148" s="21">
        <v>13777</v>
      </c>
      <c r="I148" s="21">
        <v>13777</v>
      </c>
      <c r="K148">
        <v>15</v>
      </c>
      <c r="L148" t="s">
        <v>95</v>
      </c>
      <c r="M148" s="19" t="s">
        <v>365</v>
      </c>
      <c r="N148">
        <v>27</v>
      </c>
      <c r="O148">
        <v>1217</v>
      </c>
      <c r="P148">
        <v>1217</v>
      </c>
      <c r="Q148">
        <v>1217</v>
      </c>
      <c r="R148" t="s">
        <v>887</v>
      </c>
      <c r="S148" t="s">
        <v>888</v>
      </c>
      <c r="V148">
        <v>92</v>
      </c>
      <c r="W148">
        <v>63</v>
      </c>
      <c r="Y148">
        <v>2.2699230293731691</v>
      </c>
      <c r="Z148">
        <v>2.2863247738827188</v>
      </c>
      <c r="AB148">
        <f>H148/[1]Sheet1!$H$97</f>
        <v>6.9025866091530137</v>
      </c>
      <c r="AD148" t="e">
        <f t="shared" si="7"/>
        <v>#VALUE!</v>
      </c>
      <c r="AG148">
        <f t="shared" si="9"/>
        <v>34.294871608240783</v>
      </c>
    </row>
    <row r="149" spans="1:33" x14ac:dyDescent="0.25">
      <c r="A149" s="22" t="s">
        <v>368</v>
      </c>
      <c r="D149" s="12">
        <v>0</v>
      </c>
      <c r="E149" s="12">
        <v>0</v>
      </c>
      <c r="G149" s="21">
        <v>13276</v>
      </c>
      <c r="H149" s="21">
        <v>13276</v>
      </c>
      <c r="I149" s="21">
        <v>13276</v>
      </c>
      <c r="K149">
        <v>11</v>
      </c>
      <c r="L149" t="s">
        <v>95</v>
      </c>
      <c r="M149" s="19" t="s">
        <v>365</v>
      </c>
      <c r="N149">
        <v>34</v>
      </c>
      <c r="O149">
        <f>1593-12.418*N149+0.065*N149*N149</f>
        <v>1245.9280000000001</v>
      </c>
      <c r="P149">
        <f>1451-5.739*N149</f>
        <v>1255.874</v>
      </c>
      <c r="R149" t="s">
        <v>367</v>
      </c>
      <c r="T149">
        <v>-1</v>
      </c>
      <c r="U149">
        <v>-1</v>
      </c>
      <c r="V149">
        <v>84</v>
      </c>
      <c r="W149">
        <v>54</v>
      </c>
      <c r="Y149">
        <v>2.1873773780908903</v>
      </c>
      <c r="Z149">
        <v>2.2031826738816127</v>
      </c>
      <c r="AB149">
        <f>H149/[1]Sheet1!$H$97</f>
        <v>6.6515743502297608</v>
      </c>
      <c r="AD149" t="e">
        <f t="shared" si="7"/>
        <v>#VALUE!</v>
      </c>
      <c r="AG149">
        <f t="shared" si="9"/>
        <v>24.235009412697739</v>
      </c>
    </row>
    <row r="150" spans="1:33" x14ac:dyDescent="0.25">
      <c r="A150" s="22" t="s">
        <v>369</v>
      </c>
      <c r="D150" s="12">
        <v>0</v>
      </c>
      <c r="E150" s="12">
        <v>0</v>
      </c>
      <c r="G150" s="21">
        <v>13113</v>
      </c>
      <c r="H150" s="21">
        <v>13113</v>
      </c>
      <c r="I150" s="21">
        <v>13113</v>
      </c>
      <c r="K150">
        <v>22</v>
      </c>
      <c r="L150" t="s">
        <v>95</v>
      </c>
      <c r="M150" s="19" t="s">
        <v>365</v>
      </c>
      <c r="N150">
        <v>34</v>
      </c>
      <c r="O150">
        <v>1124</v>
      </c>
      <c r="P150">
        <v>1124</v>
      </c>
      <c r="Q150">
        <v>1124</v>
      </c>
      <c r="R150" t="s">
        <v>1156</v>
      </c>
      <c r="S150" t="s">
        <v>889</v>
      </c>
      <c r="V150">
        <v>83</v>
      </c>
      <c r="W150">
        <v>42</v>
      </c>
      <c r="Y150">
        <v>2.1605212081128231</v>
      </c>
      <c r="Z150">
        <v>2.1761324497295562</v>
      </c>
      <c r="AB150">
        <f>H150/[1]Sheet1!$H$97</f>
        <v>6.5699076871469462</v>
      </c>
      <c r="AD150" t="e">
        <f t="shared" si="7"/>
        <v>#VALUE!</v>
      </c>
      <c r="AG150">
        <f t="shared" si="9"/>
        <v>47.874913894050238</v>
      </c>
    </row>
    <row r="151" spans="1:33" x14ac:dyDescent="0.25">
      <c r="A151" s="22" t="s">
        <v>370</v>
      </c>
      <c r="D151" s="12">
        <v>0</v>
      </c>
      <c r="E151" s="12">
        <v>0</v>
      </c>
      <c r="G151" s="21">
        <v>14200</v>
      </c>
      <c r="H151" s="21">
        <v>14200</v>
      </c>
      <c r="I151" s="21">
        <v>14200</v>
      </c>
      <c r="K151">
        <v>23</v>
      </c>
      <c r="L151" t="s">
        <v>95</v>
      </c>
      <c r="M151" s="19" t="s">
        <v>365</v>
      </c>
      <c r="N151">
        <v>100</v>
      </c>
      <c r="O151">
        <f>1593-12.418*N151+0.065*N151*N151</f>
        <v>1001.2</v>
      </c>
      <c r="P151">
        <f>1451-5.739*N151</f>
        <v>877.1</v>
      </c>
      <c r="R151" t="s">
        <v>367</v>
      </c>
      <c r="T151">
        <v>-1</v>
      </c>
      <c r="U151">
        <v>-1</v>
      </c>
      <c r="V151">
        <v>69</v>
      </c>
      <c r="W151">
        <v>23</v>
      </c>
      <c r="Y151">
        <v>2.3396172618929376</v>
      </c>
      <c r="Z151">
        <v>2.3565225948417368</v>
      </c>
      <c r="AB151">
        <f>H151/[1]Sheet1!$H$97</f>
        <v>7.1145191151900118</v>
      </c>
      <c r="AD151" t="e">
        <f t="shared" si="7"/>
        <v>#VALUE!</v>
      </c>
      <c r="AG151">
        <f t="shared" si="9"/>
        <v>54.200019681359947</v>
      </c>
    </row>
    <row r="152" spans="1:33" x14ac:dyDescent="0.25">
      <c r="A152" s="22" t="s">
        <v>371</v>
      </c>
      <c r="D152" s="12">
        <v>0</v>
      </c>
      <c r="E152" s="12">
        <v>0</v>
      </c>
      <c r="G152" s="21">
        <v>15566</v>
      </c>
      <c r="H152" s="21">
        <v>15566</v>
      </c>
      <c r="I152" s="21">
        <v>15566</v>
      </c>
      <c r="K152">
        <v>34</v>
      </c>
      <c r="L152" t="s">
        <v>95</v>
      </c>
      <c r="M152" s="19" t="s">
        <v>365</v>
      </c>
      <c r="N152">
        <v>31</v>
      </c>
      <c r="O152">
        <v>1177</v>
      </c>
      <c r="P152">
        <v>1177</v>
      </c>
      <c r="Q152">
        <v>1177</v>
      </c>
      <c r="R152" t="s">
        <v>1157</v>
      </c>
      <c r="S152" t="s">
        <v>890</v>
      </c>
      <c r="V152">
        <v>85</v>
      </c>
      <c r="W152">
        <v>45</v>
      </c>
      <c r="Y152">
        <v>2.5646818520158781</v>
      </c>
      <c r="Z152">
        <v>2.5832134303736956</v>
      </c>
      <c r="AB152">
        <f>H152/[1]Sheet1!$H$97</f>
        <v>7.7989158131723757</v>
      </c>
      <c r="AD152" t="e">
        <f t="shared" si="7"/>
        <v>#VALUE!</v>
      </c>
      <c r="AG152">
        <f t="shared" si="9"/>
        <v>87.829256632705651</v>
      </c>
    </row>
    <row r="153" spans="1:33" x14ac:dyDescent="0.25">
      <c r="A153" s="22" t="s">
        <v>372</v>
      </c>
      <c r="D153" s="12">
        <v>0</v>
      </c>
      <c r="E153" s="12">
        <v>0</v>
      </c>
      <c r="G153" s="21">
        <v>13000</v>
      </c>
      <c r="H153" s="21">
        <v>13000</v>
      </c>
      <c r="I153" s="21">
        <v>13000</v>
      </c>
      <c r="K153">
        <v>14</v>
      </c>
      <c r="L153" t="s">
        <v>95</v>
      </c>
      <c r="M153" s="19" t="s">
        <v>365</v>
      </c>
      <c r="N153">
        <v>53</v>
      </c>
      <c r="O153">
        <v>910</v>
      </c>
      <c r="P153">
        <v>910</v>
      </c>
      <c r="Q153">
        <v>910</v>
      </c>
      <c r="R153" t="s">
        <v>891</v>
      </c>
      <c r="S153" t="s">
        <v>892</v>
      </c>
      <c r="V153">
        <v>69</v>
      </c>
      <c r="W153">
        <v>22</v>
      </c>
      <c r="Y153">
        <v>2.1419031270850835</v>
      </c>
      <c r="Z153">
        <v>2.1573798403480691</v>
      </c>
      <c r="AB153">
        <f>H153/[1]Sheet1!$H$97</f>
        <v>6.5132921477091665</v>
      </c>
      <c r="AD153" t="e">
        <f t="shared" si="7"/>
        <v>#VALUE!</v>
      </c>
      <c r="AG153">
        <f t="shared" si="9"/>
        <v>30.203317764872967</v>
      </c>
    </row>
    <row r="154" spans="1:33" x14ac:dyDescent="0.25">
      <c r="A154" s="22" t="s">
        <v>373</v>
      </c>
      <c r="D154" s="12">
        <v>0</v>
      </c>
      <c r="E154" s="12">
        <v>0</v>
      </c>
      <c r="G154" s="21">
        <v>10326</v>
      </c>
      <c r="H154" s="21">
        <v>10326</v>
      </c>
      <c r="I154" s="21">
        <v>10326</v>
      </c>
      <c r="K154">
        <v>13</v>
      </c>
      <c r="L154" t="s">
        <v>95</v>
      </c>
      <c r="M154" s="19" t="s">
        <v>365</v>
      </c>
      <c r="N154">
        <v>25</v>
      </c>
      <c r="O154">
        <f>1593-12.418*N154+0.065*N154*N154</f>
        <v>1323.175</v>
      </c>
      <c r="P154">
        <f>1451-5.739*N154</f>
        <v>1307.5250000000001</v>
      </c>
      <c r="R154" t="s">
        <v>367</v>
      </c>
      <c r="T154">
        <v>-1</v>
      </c>
      <c r="U154">
        <v>-1</v>
      </c>
      <c r="V154">
        <v>63</v>
      </c>
      <c r="W154">
        <v>34</v>
      </c>
      <c r="Y154">
        <v>1.7013301300215826</v>
      </c>
      <c r="Z154">
        <v>1.7136234024180124</v>
      </c>
      <c r="AB154">
        <f>H154/[1]Sheet1!$H$97</f>
        <v>5.1735580551726805</v>
      </c>
      <c r="AD154" t="e">
        <f t="shared" si="7"/>
        <v>#VALUE!</v>
      </c>
      <c r="AG154">
        <f t="shared" si="9"/>
        <v>22.277104231434162</v>
      </c>
    </row>
    <row r="155" spans="1:33" x14ac:dyDescent="0.25">
      <c r="A155" s="22" t="s">
        <v>374</v>
      </c>
      <c r="D155" s="12">
        <v>0</v>
      </c>
      <c r="E155" s="12">
        <v>0</v>
      </c>
      <c r="G155" s="21">
        <v>7156</v>
      </c>
      <c r="H155" s="21">
        <v>7156</v>
      </c>
      <c r="I155" s="21">
        <v>7156</v>
      </c>
      <c r="K155">
        <v>30</v>
      </c>
      <c r="L155" t="s">
        <v>95</v>
      </c>
      <c r="M155" s="19" t="s">
        <v>365</v>
      </c>
      <c r="N155">
        <v>100</v>
      </c>
      <c r="O155">
        <f>1593-12.418*N155+0.065*N155*N155</f>
        <v>1001.2</v>
      </c>
      <c r="P155">
        <f>1451-5.739*N155</f>
        <v>877.1</v>
      </c>
      <c r="R155" t="s">
        <v>367</v>
      </c>
      <c r="T155">
        <v>-1</v>
      </c>
      <c r="U155">
        <v>-1</v>
      </c>
      <c r="V155">
        <v>59</v>
      </c>
      <c r="W155">
        <v>9</v>
      </c>
      <c r="Y155">
        <v>1.1790352905708352</v>
      </c>
      <c r="Z155">
        <v>1.1875546259639063</v>
      </c>
      <c r="AB155">
        <f>H155/[1]Sheet1!$H$97</f>
        <v>3.5853168160774458</v>
      </c>
      <c r="AD155" t="e">
        <f t="shared" si="7"/>
        <v>#VALUE!</v>
      </c>
      <c r="AG155">
        <f t="shared" si="9"/>
        <v>35.62663877891719</v>
      </c>
    </row>
    <row r="156" spans="1:33" x14ac:dyDescent="0.25">
      <c r="A156" s="22" t="s">
        <v>375</v>
      </c>
      <c r="D156" s="12">
        <v>0</v>
      </c>
      <c r="E156" s="12">
        <v>0</v>
      </c>
      <c r="G156" s="21">
        <v>17000</v>
      </c>
      <c r="H156" s="21">
        <v>17000</v>
      </c>
      <c r="I156" s="21">
        <v>17000</v>
      </c>
      <c r="K156">
        <v>20</v>
      </c>
      <c r="L156" t="s">
        <v>108</v>
      </c>
      <c r="M156" s="19" t="s">
        <v>365</v>
      </c>
      <c r="N156">
        <v>71</v>
      </c>
      <c r="O156">
        <f>1593-12.418*N156+0.065*N156*N156</f>
        <v>1038.9870000000001</v>
      </c>
      <c r="P156">
        <f>1451-5.739*N156</f>
        <v>1043.5309999999999</v>
      </c>
      <c r="R156" t="s">
        <v>376</v>
      </c>
      <c r="T156">
        <v>-1</v>
      </c>
      <c r="U156">
        <v>-1</v>
      </c>
      <c r="V156">
        <v>65</v>
      </c>
      <c r="W156">
        <v>9</v>
      </c>
      <c r="Y156">
        <v>2.8009502431112634</v>
      </c>
      <c r="Z156">
        <v>2.8211890219936286</v>
      </c>
      <c r="AB156">
        <f>H156/[1]Sheet1!$H$97</f>
        <v>8.5173820393119861</v>
      </c>
      <c r="AD156" t="e">
        <f t="shared" si="7"/>
        <v>#VALUE!</v>
      </c>
      <c r="AG156">
        <f t="shared" si="9"/>
        <v>56.423780439872573</v>
      </c>
    </row>
    <row r="157" spans="1:33" x14ac:dyDescent="0.25">
      <c r="A157" s="22" t="s">
        <v>377</v>
      </c>
      <c r="D157" s="12">
        <v>0</v>
      </c>
      <c r="E157" s="12">
        <v>0</v>
      </c>
      <c r="G157" s="21"/>
      <c r="H157" s="21"/>
      <c r="I157" s="21"/>
      <c r="L157" t="s">
        <v>28</v>
      </c>
      <c r="M157" s="19" t="s">
        <v>365</v>
      </c>
      <c r="O157" t="s">
        <v>28</v>
      </c>
      <c r="P157" t="s">
        <v>28</v>
      </c>
      <c r="Q157" t="s">
        <v>28</v>
      </c>
      <c r="R157" t="s">
        <v>28</v>
      </c>
      <c r="Y157">
        <v>0</v>
      </c>
      <c r="Z157">
        <v>0</v>
      </c>
      <c r="AB157">
        <f>H157/[1]Sheet1!$H$97</f>
        <v>0</v>
      </c>
      <c r="AD157" t="e">
        <f t="shared" si="7"/>
        <v>#VALUE!</v>
      </c>
      <c r="AG157">
        <f t="shared" si="9"/>
        <v>0</v>
      </c>
    </row>
    <row r="158" spans="1:33" x14ac:dyDescent="0.25">
      <c r="A158" s="22" t="s">
        <v>378</v>
      </c>
      <c r="D158" s="12">
        <v>0</v>
      </c>
      <c r="E158" s="12">
        <v>0</v>
      </c>
      <c r="G158" s="21">
        <v>18494</v>
      </c>
      <c r="H158" s="21">
        <v>18494</v>
      </c>
      <c r="I158" s="21">
        <v>18494</v>
      </c>
      <c r="K158">
        <v>23</v>
      </c>
      <c r="L158" t="s">
        <v>95</v>
      </c>
      <c r="M158" s="19" t="s">
        <v>365</v>
      </c>
      <c r="N158">
        <v>37</v>
      </c>
      <c r="O158">
        <f>1593-12.418*N158+0.065*N158*N158</f>
        <v>1222.5190000000002</v>
      </c>
      <c r="P158">
        <f>1451-5.739*N158</f>
        <v>1238.6569999999999</v>
      </c>
      <c r="R158" t="s">
        <v>367</v>
      </c>
      <c r="T158">
        <v>-1</v>
      </c>
      <c r="U158">
        <v>-1</v>
      </c>
      <c r="V158">
        <v>84</v>
      </c>
      <c r="W158">
        <v>56</v>
      </c>
      <c r="Y158">
        <v>3.0471043409470413</v>
      </c>
      <c r="Z158">
        <v>3.0691217513382454</v>
      </c>
      <c r="AB158">
        <f>H158/[1]Sheet1!$H$97</f>
        <v>9.2659096138256398</v>
      </c>
      <c r="AD158" t="e">
        <f t="shared" si="7"/>
        <v>#VALUE!</v>
      </c>
      <c r="AG158">
        <f t="shared" si="9"/>
        <v>70.589800280779642</v>
      </c>
    </row>
    <row r="159" spans="1:33" x14ac:dyDescent="0.25">
      <c r="A159" s="22" t="s">
        <v>379</v>
      </c>
      <c r="D159" s="12">
        <v>0</v>
      </c>
      <c r="E159" s="12">
        <v>0</v>
      </c>
      <c r="F159">
        <v>60</v>
      </c>
      <c r="G159" s="21">
        <v>7800</v>
      </c>
      <c r="H159" s="21">
        <v>7800</v>
      </c>
      <c r="I159" s="21">
        <v>7800</v>
      </c>
      <c r="K159">
        <v>25</v>
      </c>
      <c r="L159" t="s">
        <v>95</v>
      </c>
      <c r="M159" s="19" t="s">
        <v>365</v>
      </c>
      <c r="N159">
        <v>65</v>
      </c>
      <c r="O159">
        <f>425+450</f>
        <v>875</v>
      </c>
      <c r="P159">
        <f>425+450</f>
        <v>875</v>
      </c>
      <c r="Q159">
        <f>425+450</f>
        <v>875</v>
      </c>
      <c r="R159" t="s">
        <v>1158</v>
      </c>
      <c r="S159" t="s">
        <v>892</v>
      </c>
      <c r="V159">
        <v>74</v>
      </c>
      <c r="W159">
        <v>26</v>
      </c>
      <c r="Y159">
        <v>1.2851418762510503</v>
      </c>
      <c r="Z159">
        <v>1.2944279042088414</v>
      </c>
      <c r="AB159">
        <f>H159/[1]Sheet1!$H$97</f>
        <v>3.9079752886254995</v>
      </c>
      <c r="AD159" t="e">
        <f t="shared" si="7"/>
        <v>#VALUE!</v>
      </c>
      <c r="AG159">
        <f t="shared" si="9"/>
        <v>32.360697605221034</v>
      </c>
    </row>
    <row r="160" spans="1:33" ht="60" x14ac:dyDescent="0.25">
      <c r="A160" s="23" t="s">
        <v>380</v>
      </c>
      <c r="G160" s="21"/>
      <c r="H160" s="21"/>
      <c r="I160" s="21"/>
      <c r="M160" s="19" t="s">
        <v>365</v>
      </c>
      <c r="Y160">
        <v>0</v>
      </c>
      <c r="Z160">
        <v>0</v>
      </c>
      <c r="AB160">
        <f>H160/[1]Sheet1!$H$97</f>
        <v>0</v>
      </c>
      <c r="AD160" t="e">
        <f t="shared" si="7"/>
        <v>#VALUE!</v>
      </c>
      <c r="AG160">
        <f t="shared" si="9"/>
        <v>0</v>
      </c>
    </row>
    <row r="161" spans="1:33" ht="18" x14ac:dyDescent="0.25">
      <c r="A161" s="24" t="s">
        <v>381</v>
      </c>
      <c r="G161" s="21"/>
      <c r="H161" s="21"/>
      <c r="I161" s="21"/>
      <c r="M161" s="19" t="s">
        <v>365</v>
      </c>
      <c r="Y161">
        <v>0</v>
      </c>
      <c r="Z161">
        <v>0</v>
      </c>
      <c r="AB161">
        <f>H161/[1]Sheet1!$H$97</f>
        <v>0</v>
      </c>
      <c r="AD161" t="e">
        <f t="shared" si="7"/>
        <v>#VALUE!</v>
      </c>
      <c r="AG161">
        <f t="shared" si="9"/>
        <v>0</v>
      </c>
    </row>
    <row r="162" spans="1:33" x14ac:dyDescent="0.25">
      <c r="A162" s="25" t="s">
        <v>382</v>
      </c>
      <c r="G162" s="21"/>
      <c r="H162" s="21"/>
      <c r="I162" s="21"/>
      <c r="M162" s="19" t="s">
        <v>365</v>
      </c>
      <c r="N162">
        <v>18</v>
      </c>
      <c r="V162">
        <v>85</v>
      </c>
      <c r="W162">
        <v>74</v>
      </c>
      <c r="Y162">
        <v>0</v>
      </c>
      <c r="Z162">
        <v>0</v>
      </c>
      <c r="AB162">
        <f>H162/[1]Sheet1!$H$97</f>
        <v>0</v>
      </c>
      <c r="AD162" t="e">
        <f t="shared" si="7"/>
        <v>#VALUE!</v>
      </c>
      <c r="AG162">
        <f t="shared" si="9"/>
        <v>0</v>
      </c>
    </row>
    <row r="163" spans="1:33" x14ac:dyDescent="0.25">
      <c r="A163" s="25" t="s">
        <v>383</v>
      </c>
      <c r="G163" s="21"/>
      <c r="H163" s="21"/>
      <c r="I163" s="21"/>
      <c r="M163" s="19" t="s">
        <v>365</v>
      </c>
      <c r="N163">
        <v>9</v>
      </c>
      <c r="V163">
        <v>95</v>
      </c>
      <c r="W163">
        <v>84</v>
      </c>
      <c r="Y163">
        <v>0</v>
      </c>
      <c r="Z163">
        <v>0</v>
      </c>
      <c r="AB163">
        <f>H163/[1]Sheet1!$H$97</f>
        <v>0</v>
      </c>
      <c r="AD163" t="e">
        <f t="shared" si="7"/>
        <v>#VALUE!</v>
      </c>
      <c r="AG163">
        <f t="shared" si="9"/>
        <v>0</v>
      </c>
    </row>
    <row r="164" spans="1:33" ht="23.25" x14ac:dyDescent="0.25">
      <c r="A164" s="26" t="s">
        <v>384</v>
      </c>
      <c r="G164" s="21"/>
      <c r="H164" s="21"/>
      <c r="I164" s="21"/>
      <c r="M164" s="19" t="s">
        <v>365</v>
      </c>
      <c r="Y164">
        <v>0</v>
      </c>
      <c r="Z164">
        <v>0</v>
      </c>
      <c r="AB164">
        <f>H164/[1]Sheet1!$H$97</f>
        <v>0</v>
      </c>
      <c r="AD164" t="e">
        <f t="shared" si="7"/>
        <v>#VALUE!</v>
      </c>
      <c r="AG164">
        <f t="shared" si="9"/>
        <v>0</v>
      </c>
    </row>
    <row r="165" spans="1:33" x14ac:dyDescent="0.25">
      <c r="A165" s="25" t="s">
        <v>385</v>
      </c>
      <c r="D165">
        <v>0</v>
      </c>
      <c r="E165">
        <v>1</v>
      </c>
      <c r="F165">
        <v>63</v>
      </c>
      <c r="G165" s="21">
        <v>5103</v>
      </c>
      <c r="H165" s="21">
        <v>5103</v>
      </c>
      <c r="I165" s="21">
        <v>5103</v>
      </c>
      <c r="K165">
        <v>25</v>
      </c>
      <c r="L165" t="s">
        <v>108</v>
      </c>
      <c r="M165" s="19" t="s">
        <v>365</v>
      </c>
      <c r="N165">
        <v>68</v>
      </c>
      <c r="O165" s="41">
        <f>552+569</f>
        <v>1121</v>
      </c>
      <c r="P165" s="41">
        <f>552+569</f>
        <v>1121</v>
      </c>
      <c r="Q165" s="41">
        <f>552+569</f>
        <v>1121</v>
      </c>
      <c r="R165" s="41" t="s">
        <v>1159</v>
      </c>
      <c r="S165" t="s">
        <v>893</v>
      </c>
      <c r="V165">
        <v>83</v>
      </c>
      <c r="W165">
        <v>64</v>
      </c>
      <c r="Y165">
        <v>0.84077935827039862</v>
      </c>
      <c r="Z165">
        <v>0.84685456348432275</v>
      </c>
      <c r="AB165">
        <f>H165/[1]Sheet1!$H$97</f>
        <v>2.5567176792122979</v>
      </c>
      <c r="AD165" t="e">
        <f t="shared" si="7"/>
        <v>#VALUE!</v>
      </c>
      <c r="AG165">
        <f t="shared" si="9"/>
        <v>21.171364087108067</v>
      </c>
    </row>
    <row r="166" spans="1:33" x14ac:dyDescent="0.25">
      <c r="A166" s="25" t="s">
        <v>386</v>
      </c>
      <c r="E166">
        <v>1</v>
      </c>
      <c r="G166" s="21"/>
      <c r="H166" s="21"/>
      <c r="I166" s="21"/>
      <c r="M166" s="19" t="s">
        <v>365</v>
      </c>
      <c r="Y166">
        <v>0</v>
      </c>
      <c r="Z166">
        <v>0</v>
      </c>
      <c r="AB166">
        <f>H166/[1]Sheet1!$H$97</f>
        <v>0</v>
      </c>
      <c r="AD166" t="e">
        <f t="shared" si="7"/>
        <v>#VALUE!</v>
      </c>
      <c r="AG166">
        <f t="shared" si="9"/>
        <v>0</v>
      </c>
    </row>
    <row r="167" spans="1:33" x14ac:dyDescent="0.25">
      <c r="A167" s="25" t="s">
        <v>387</v>
      </c>
      <c r="D167">
        <v>0</v>
      </c>
      <c r="E167">
        <v>1</v>
      </c>
      <c r="G167" s="21">
        <v>2000</v>
      </c>
      <c r="H167" s="21">
        <v>2000</v>
      </c>
      <c r="I167" s="21">
        <v>2000</v>
      </c>
      <c r="K167">
        <v>53</v>
      </c>
      <c r="L167" t="s">
        <v>29</v>
      </c>
      <c r="M167" s="19" t="s">
        <v>365</v>
      </c>
      <c r="N167">
        <v>70</v>
      </c>
      <c r="O167">
        <v>1084</v>
      </c>
      <c r="P167">
        <v>1084</v>
      </c>
      <c r="Q167">
        <v>1084</v>
      </c>
      <c r="R167">
        <v>1084</v>
      </c>
      <c r="S167" t="s">
        <v>894</v>
      </c>
      <c r="V167">
        <v>75</v>
      </c>
      <c r="W167">
        <v>62</v>
      </c>
      <c r="Y167">
        <v>0.3295235580130898</v>
      </c>
      <c r="Z167">
        <v>0.33190459082277984</v>
      </c>
      <c r="AB167">
        <f>H167/[1]Sheet1!$H$97</f>
        <v>1.0020449458014102</v>
      </c>
      <c r="AD167" t="e">
        <f t="shared" si="7"/>
        <v>#VALUE!</v>
      </c>
      <c r="AG167">
        <f t="shared" si="9"/>
        <v>17.590943313607333</v>
      </c>
    </row>
    <row r="168" spans="1:33" x14ac:dyDescent="0.25">
      <c r="A168" s="25" t="s">
        <v>388</v>
      </c>
      <c r="D168">
        <v>0</v>
      </c>
      <c r="E168">
        <v>1</v>
      </c>
      <c r="G168" s="21">
        <v>2051</v>
      </c>
      <c r="H168" s="21">
        <v>2051</v>
      </c>
      <c r="I168" s="21">
        <v>2051</v>
      </c>
      <c r="K168">
        <v>13</v>
      </c>
      <c r="L168" t="s">
        <v>108</v>
      </c>
      <c r="M168" s="19" t="s">
        <v>365</v>
      </c>
      <c r="N168">
        <v>38</v>
      </c>
      <c r="O168" s="41">
        <f>640+620</f>
        <v>1260</v>
      </c>
      <c r="P168" s="41">
        <f>640+620</f>
        <v>1260</v>
      </c>
      <c r="Q168" s="41">
        <f>640+620</f>
        <v>1260</v>
      </c>
      <c r="R168" s="41" t="s">
        <v>1160</v>
      </c>
      <c r="S168" t="s">
        <v>895</v>
      </c>
      <c r="V168">
        <v>87</v>
      </c>
      <c r="W168">
        <v>74</v>
      </c>
      <c r="Y168">
        <v>0.33792640874242358</v>
      </c>
      <c r="Z168">
        <v>0.34036815788876074</v>
      </c>
      <c r="AB168">
        <f>H168/[1]Sheet1!$H$97</f>
        <v>1.0275970919193462</v>
      </c>
      <c r="AD168" t="e">
        <f t="shared" si="7"/>
        <v>#VALUE!</v>
      </c>
      <c r="AG168">
        <f t="shared" si="9"/>
        <v>4.4247860525538893</v>
      </c>
    </row>
    <row r="169" spans="1:33" x14ac:dyDescent="0.25">
      <c r="A169" s="25" t="s">
        <v>389</v>
      </c>
      <c r="D169">
        <v>0</v>
      </c>
      <c r="E169">
        <v>1</v>
      </c>
      <c r="F169" t="s">
        <v>900</v>
      </c>
      <c r="G169" s="21"/>
      <c r="H169" s="21"/>
      <c r="I169" s="21"/>
      <c r="M169" s="19" t="s">
        <v>365</v>
      </c>
      <c r="N169">
        <v>21</v>
      </c>
      <c r="V169">
        <v>98</v>
      </c>
      <c r="W169">
        <v>90</v>
      </c>
      <c r="Y169">
        <v>0</v>
      </c>
      <c r="Z169">
        <v>0</v>
      </c>
      <c r="AB169">
        <f>H169/[1]Sheet1!$H$97</f>
        <v>0</v>
      </c>
      <c r="AD169" t="e">
        <f t="shared" si="7"/>
        <v>#VALUE!</v>
      </c>
      <c r="AG169">
        <f t="shared" si="9"/>
        <v>0</v>
      </c>
    </row>
    <row r="170" spans="1:33" x14ac:dyDescent="0.25">
      <c r="A170" s="25" t="s">
        <v>390</v>
      </c>
      <c r="D170">
        <v>0</v>
      </c>
      <c r="E170">
        <v>1</v>
      </c>
      <c r="G170" s="21">
        <v>8900</v>
      </c>
      <c r="H170" s="21">
        <v>8900</v>
      </c>
      <c r="I170" s="21">
        <v>8900</v>
      </c>
      <c r="K170">
        <v>11</v>
      </c>
      <c r="L170" t="s">
        <v>108</v>
      </c>
      <c r="M170" s="19" t="s">
        <v>365</v>
      </c>
      <c r="N170">
        <v>94</v>
      </c>
      <c r="O170">
        <f>1593-12.418*N170+0.065*N170*N170</f>
        <v>1000.0480000000001</v>
      </c>
      <c r="P170">
        <f>1451-5.739*N170</f>
        <v>911.53399999999999</v>
      </c>
      <c r="T170">
        <v>-1</v>
      </c>
      <c r="U170">
        <v>-1</v>
      </c>
      <c r="V170">
        <v>51</v>
      </c>
      <c r="W170">
        <v>33</v>
      </c>
      <c r="Y170">
        <v>1.4663798331582496</v>
      </c>
      <c r="Z170">
        <v>1.4769754291613704</v>
      </c>
      <c r="AB170">
        <f>H170/[1]Sheet1!$H$97</f>
        <v>4.4591000088162751</v>
      </c>
      <c r="AD170" t="e">
        <f t="shared" si="7"/>
        <v>#VALUE!</v>
      </c>
      <c r="AG170">
        <f t="shared" si="9"/>
        <v>16.246729720775075</v>
      </c>
    </row>
    <row r="171" spans="1:33" x14ac:dyDescent="0.25">
      <c r="A171" s="25" t="s">
        <v>391</v>
      </c>
      <c r="D171">
        <v>1</v>
      </c>
      <c r="E171">
        <v>1</v>
      </c>
      <c r="G171" s="21">
        <v>3084</v>
      </c>
      <c r="H171" s="21">
        <v>3084</v>
      </c>
      <c r="I171" s="21">
        <v>3084</v>
      </c>
      <c r="K171">
        <v>42</v>
      </c>
      <c r="L171" t="s">
        <v>29</v>
      </c>
      <c r="M171" s="19" t="s">
        <v>365</v>
      </c>
      <c r="N171">
        <v>73</v>
      </c>
      <c r="O171" s="41">
        <f>525+540</f>
        <v>1065</v>
      </c>
      <c r="P171" s="41">
        <f>525+540</f>
        <v>1065</v>
      </c>
      <c r="Q171" s="41">
        <f>525+540</f>
        <v>1065</v>
      </c>
      <c r="R171" s="41" t="s">
        <v>1161</v>
      </c>
      <c r="S171" t="s">
        <v>896</v>
      </c>
      <c r="V171">
        <v>86</v>
      </c>
      <c r="W171">
        <v>68</v>
      </c>
      <c r="Y171">
        <v>0.50812532645618447</v>
      </c>
      <c r="Z171">
        <v>0.51179687904872651</v>
      </c>
      <c r="AB171">
        <f>H171/[1]Sheet1!$H$97</f>
        <v>1.5451533064257745</v>
      </c>
      <c r="AD171" t="e">
        <f t="shared" si="7"/>
        <v>#VALUE!</v>
      </c>
      <c r="AG171">
        <f t="shared" si="9"/>
        <v>21.495468920046513</v>
      </c>
    </row>
    <row r="172" spans="1:33" x14ac:dyDescent="0.25">
      <c r="A172" s="25" t="s">
        <v>392</v>
      </c>
      <c r="B172" s="27"/>
      <c r="D172">
        <v>0</v>
      </c>
      <c r="E172">
        <v>1</v>
      </c>
      <c r="G172" s="21">
        <v>1000</v>
      </c>
      <c r="H172" s="21">
        <v>1000</v>
      </c>
      <c r="I172" s="21">
        <v>1000</v>
      </c>
      <c r="K172">
        <v>60</v>
      </c>
      <c r="L172" t="s">
        <v>29</v>
      </c>
      <c r="M172" s="19" t="s">
        <v>365</v>
      </c>
      <c r="N172">
        <v>78</v>
      </c>
      <c r="O172">
        <f>1593-12.418*N172+0.065*N172*N172</f>
        <v>1019.8560000000001</v>
      </c>
      <c r="P172">
        <f>1451-5.739*N172</f>
        <v>1003.3579999999999</v>
      </c>
      <c r="T172">
        <v>-1</v>
      </c>
      <c r="U172">
        <v>-1</v>
      </c>
      <c r="V172">
        <v>68</v>
      </c>
      <c r="W172">
        <v>46</v>
      </c>
      <c r="Y172">
        <v>0.1647617790065449</v>
      </c>
      <c r="Z172">
        <v>0.16595229541138992</v>
      </c>
      <c r="AB172">
        <f>H172/[1]Sheet1!$H$97</f>
        <v>0.50102247290070512</v>
      </c>
      <c r="AD172" t="e">
        <f t="shared" si="7"/>
        <v>#VALUE!</v>
      </c>
      <c r="AG172">
        <f t="shared" si="9"/>
        <v>9.9571377246833954</v>
      </c>
    </row>
    <row r="173" spans="1:33" x14ac:dyDescent="0.25">
      <c r="A173" s="25" t="s">
        <v>393</v>
      </c>
      <c r="D173">
        <v>0</v>
      </c>
      <c r="E173">
        <v>1</v>
      </c>
      <c r="G173" s="21">
        <v>3247</v>
      </c>
      <c r="H173" s="21">
        <v>3247</v>
      </c>
      <c r="I173" s="21">
        <v>3247</v>
      </c>
      <c r="K173">
        <v>40</v>
      </c>
      <c r="L173" t="s">
        <v>29</v>
      </c>
      <c r="M173" s="19" t="s">
        <v>365</v>
      </c>
      <c r="N173">
        <v>64</v>
      </c>
      <c r="O173">
        <f>575+ 610</f>
        <v>1185</v>
      </c>
      <c r="P173">
        <f>575+ 610</f>
        <v>1185</v>
      </c>
      <c r="Q173">
        <f>575+ 610</f>
        <v>1185</v>
      </c>
      <c r="R173" t="s">
        <v>1162</v>
      </c>
      <c r="S173" t="s">
        <v>897</v>
      </c>
      <c r="V173">
        <v>87</v>
      </c>
      <c r="W173">
        <v>73</v>
      </c>
      <c r="Y173">
        <v>0.5349814964342513</v>
      </c>
      <c r="Z173">
        <v>0.53884710320078311</v>
      </c>
      <c r="AB173">
        <f>H173/[1]Sheet1!$H$97</f>
        <v>1.6268199695085894</v>
      </c>
      <c r="AD173" t="e">
        <f t="shared" si="7"/>
        <v>#VALUE!</v>
      </c>
      <c r="AG173">
        <f t="shared" si="9"/>
        <v>21.553884128031324</v>
      </c>
    </row>
    <row r="174" spans="1:33" x14ac:dyDescent="0.25">
      <c r="A174" s="25" t="s">
        <v>394</v>
      </c>
      <c r="D174">
        <v>0</v>
      </c>
      <c r="E174">
        <v>1</v>
      </c>
      <c r="G174" s="21">
        <v>2927</v>
      </c>
      <c r="H174" s="21">
        <v>2927</v>
      </c>
      <c r="I174" s="21">
        <v>2927</v>
      </c>
      <c r="K174">
        <v>43</v>
      </c>
      <c r="L174" t="s">
        <v>29</v>
      </c>
      <c r="M174" s="19" t="s">
        <v>365</v>
      </c>
      <c r="N174">
        <v>27</v>
      </c>
      <c r="O174" s="41">
        <f>670+680</f>
        <v>1350</v>
      </c>
      <c r="P174" s="41">
        <f>670+680</f>
        <v>1350</v>
      </c>
      <c r="Q174" s="41">
        <f>670+680</f>
        <v>1350</v>
      </c>
      <c r="R174" s="41" t="s">
        <v>1163</v>
      </c>
      <c r="S174" t="s">
        <v>898</v>
      </c>
      <c r="V174">
        <v>95</v>
      </c>
      <c r="W174">
        <v>90</v>
      </c>
      <c r="Y174">
        <v>0.48225772715215692</v>
      </c>
      <c r="Z174">
        <v>0.48574236866913828</v>
      </c>
      <c r="AB174">
        <f>H174/[1]Sheet1!$H$97</f>
        <v>1.4664927781803638</v>
      </c>
      <c r="AD174" t="e">
        <f t="shared" si="7"/>
        <v>#VALUE!</v>
      </c>
      <c r="AG174">
        <f t="shared" si="9"/>
        <v>20.886921852772947</v>
      </c>
    </row>
    <row r="175" spans="1:33" x14ac:dyDescent="0.25">
      <c r="A175" s="25" t="s">
        <v>395</v>
      </c>
      <c r="D175">
        <v>1</v>
      </c>
      <c r="E175">
        <v>1</v>
      </c>
      <c r="G175" s="21">
        <v>1527</v>
      </c>
      <c r="H175" s="21" t="s">
        <v>28</v>
      </c>
      <c r="I175" s="21">
        <v>1527</v>
      </c>
      <c r="K175">
        <v>37</v>
      </c>
      <c r="L175" t="s">
        <v>29</v>
      </c>
      <c r="M175" s="19" t="s">
        <v>365</v>
      </c>
      <c r="N175">
        <v>91</v>
      </c>
      <c r="O175">
        <f>1593-12.418*N175+0.065*N175*N175</f>
        <v>1001.227</v>
      </c>
      <c r="P175">
        <f>1451-5.739*N175</f>
        <v>928.75099999999998</v>
      </c>
      <c r="W175">
        <v>56</v>
      </c>
      <c r="Y175" t="s">
        <v>28</v>
      </c>
      <c r="Z175">
        <v>0.2534091550931924</v>
      </c>
      <c r="AB175" t="e">
        <f>H175/[1]Sheet1!$H$97</f>
        <v>#VALUE!</v>
      </c>
      <c r="AD175" t="e">
        <f t="shared" si="7"/>
        <v>#VALUE!</v>
      </c>
      <c r="AG175">
        <f t="shared" si="9"/>
        <v>9.3761387384481178</v>
      </c>
    </row>
    <row r="176" spans="1:33" x14ac:dyDescent="0.25">
      <c r="A176" s="25" t="s">
        <v>396</v>
      </c>
      <c r="D176">
        <v>1</v>
      </c>
      <c r="E176">
        <v>1</v>
      </c>
      <c r="G176" s="21">
        <v>6800</v>
      </c>
      <c r="H176" s="21">
        <v>6800</v>
      </c>
      <c r="I176" s="21">
        <v>6800</v>
      </c>
      <c r="K176">
        <v>6</v>
      </c>
      <c r="L176" t="s">
        <v>108</v>
      </c>
      <c r="M176" s="19" t="s">
        <v>365</v>
      </c>
      <c r="N176">
        <v>57</v>
      </c>
      <c r="O176" s="41">
        <f>485+460</f>
        <v>945</v>
      </c>
      <c r="P176" s="41">
        <f>485+460</f>
        <v>945</v>
      </c>
      <c r="Q176" s="41">
        <f>485+460</f>
        <v>945</v>
      </c>
      <c r="R176" s="41" t="s">
        <v>1164</v>
      </c>
      <c r="S176" t="s">
        <v>967</v>
      </c>
      <c r="V176">
        <v>60</v>
      </c>
      <c r="W176">
        <v>29</v>
      </c>
      <c r="Y176">
        <v>1.1203800972445053</v>
      </c>
      <c r="Z176">
        <v>1.1284756087974515</v>
      </c>
      <c r="AB176">
        <f>H176/[1]Sheet1!$H$97</f>
        <v>3.4069528157247948</v>
      </c>
      <c r="AD176" t="e">
        <f t="shared" si="7"/>
        <v>#VALUE!</v>
      </c>
      <c r="AG176">
        <f t="shared" si="9"/>
        <v>6.7708536527847087</v>
      </c>
    </row>
    <row r="177" spans="1:33" x14ac:dyDescent="0.25">
      <c r="A177" s="25" t="s">
        <v>397</v>
      </c>
      <c r="D177">
        <v>0</v>
      </c>
      <c r="E177">
        <v>1</v>
      </c>
      <c r="G177" s="21" t="s">
        <v>28</v>
      </c>
      <c r="H177" s="21" t="s">
        <v>28</v>
      </c>
      <c r="I177" s="21" t="s">
        <v>28</v>
      </c>
      <c r="M177" s="19" t="s">
        <v>365</v>
      </c>
      <c r="N177">
        <v>78</v>
      </c>
      <c r="V177">
        <v>78</v>
      </c>
      <c r="W177">
        <v>66</v>
      </c>
      <c r="Y177" t="s">
        <v>28</v>
      </c>
      <c r="Z177" t="s">
        <v>28</v>
      </c>
      <c r="AB177" t="e">
        <f>H177/[1]Sheet1!$H$97</f>
        <v>#VALUE!</v>
      </c>
      <c r="AD177" t="e">
        <f t="shared" si="7"/>
        <v>#VALUE!</v>
      </c>
      <c r="AG177" t="s">
        <v>28</v>
      </c>
    </row>
    <row r="178" spans="1:33" x14ac:dyDescent="0.25">
      <c r="A178" s="25" t="s">
        <v>398</v>
      </c>
      <c r="D178">
        <v>0</v>
      </c>
      <c r="E178">
        <v>1</v>
      </c>
      <c r="G178" s="21">
        <v>8365</v>
      </c>
      <c r="H178" s="21">
        <v>8365</v>
      </c>
      <c r="I178" s="21">
        <v>8365</v>
      </c>
      <c r="K178">
        <v>12</v>
      </c>
      <c r="L178" t="s">
        <v>134</v>
      </c>
      <c r="M178" s="19" t="s">
        <v>365</v>
      </c>
      <c r="N178">
        <v>7</v>
      </c>
      <c r="O178">
        <f>685+670</f>
        <v>1355</v>
      </c>
      <c r="P178">
        <f>685+670</f>
        <v>1355</v>
      </c>
      <c r="Q178">
        <f>685+670</f>
        <v>1355</v>
      </c>
      <c r="R178" t="s">
        <v>1165</v>
      </c>
      <c r="S178" t="s">
        <v>899</v>
      </c>
      <c r="V178">
        <v>97</v>
      </c>
      <c r="W178">
        <v>93</v>
      </c>
      <c r="Y178">
        <v>1.3782322813897481</v>
      </c>
      <c r="Z178">
        <v>1.3881909511162767</v>
      </c>
      <c r="AB178">
        <f>H178/[1]Sheet1!$H$97</f>
        <v>4.1910529858143981</v>
      </c>
      <c r="AD178" t="e">
        <f t="shared" si="7"/>
        <v>#VALUE!</v>
      </c>
      <c r="AG178">
        <f t="shared" ref="AG178:AG191" si="10">K178*Z178</f>
        <v>16.658291413395318</v>
      </c>
    </row>
    <row r="179" spans="1:33" x14ac:dyDescent="0.25">
      <c r="A179" s="25" t="s">
        <v>399</v>
      </c>
      <c r="D179">
        <v>1</v>
      </c>
      <c r="E179">
        <v>1</v>
      </c>
      <c r="G179" s="21">
        <v>953</v>
      </c>
      <c r="H179" s="21">
        <v>953</v>
      </c>
      <c r="I179" s="21">
        <v>953</v>
      </c>
      <c r="K179">
        <v>57</v>
      </c>
      <c r="L179" t="s">
        <v>29</v>
      </c>
      <c r="M179" s="19" t="s">
        <v>365</v>
      </c>
      <c r="N179">
        <v>72</v>
      </c>
      <c r="O179" s="41">
        <f>450+445</f>
        <v>895</v>
      </c>
      <c r="P179" s="41">
        <f>450+445</f>
        <v>895</v>
      </c>
      <c r="Q179" s="41">
        <f>450+445</f>
        <v>895</v>
      </c>
      <c r="R179" s="41" t="s">
        <v>1166</v>
      </c>
      <c r="S179" t="s">
        <v>968</v>
      </c>
      <c r="V179">
        <v>69</v>
      </c>
      <c r="W179">
        <v>39</v>
      </c>
      <c r="Y179">
        <v>0.15701797539323728</v>
      </c>
      <c r="Z179">
        <v>0.1581525375270546</v>
      </c>
      <c r="AB179">
        <f>H179/[1]Sheet1!$H$97</f>
        <v>0.47747441667437196</v>
      </c>
      <c r="AD179" t="e">
        <f t="shared" si="7"/>
        <v>#VALUE!</v>
      </c>
      <c r="AG179">
        <f t="shared" si="10"/>
        <v>9.0146946390421121</v>
      </c>
    </row>
    <row r="180" spans="1:33" x14ac:dyDescent="0.25">
      <c r="A180" s="25" t="s">
        <v>400</v>
      </c>
      <c r="E180">
        <v>1</v>
      </c>
      <c r="G180" s="21"/>
      <c r="H180" s="21"/>
      <c r="I180" s="21"/>
      <c r="M180" s="19" t="s">
        <v>365</v>
      </c>
      <c r="N180">
        <v>8</v>
      </c>
      <c r="V180" t="s">
        <v>287</v>
      </c>
      <c r="Y180">
        <v>0</v>
      </c>
      <c r="Z180">
        <v>0</v>
      </c>
      <c r="AB180">
        <f>H180/[1]Sheet1!$H$97</f>
        <v>0</v>
      </c>
      <c r="AD180" t="e">
        <f t="shared" si="7"/>
        <v>#VALUE!</v>
      </c>
      <c r="AG180">
        <f t="shared" si="10"/>
        <v>0</v>
      </c>
    </row>
    <row r="181" spans="1:33" x14ac:dyDescent="0.25">
      <c r="A181" s="25" t="s">
        <v>401</v>
      </c>
      <c r="D181">
        <v>0</v>
      </c>
      <c r="E181">
        <v>1</v>
      </c>
      <c r="G181" s="21">
        <v>13935</v>
      </c>
      <c r="H181" s="21">
        <v>13935</v>
      </c>
      <c r="I181" s="21">
        <v>13935</v>
      </c>
      <c r="K181">
        <v>36</v>
      </c>
      <c r="L181" t="s">
        <v>134</v>
      </c>
      <c r="M181" s="19" t="s">
        <v>365</v>
      </c>
      <c r="N181">
        <v>16</v>
      </c>
      <c r="O181">
        <f>1422</f>
        <v>1422</v>
      </c>
      <c r="P181">
        <f>1422</f>
        <v>1422</v>
      </c>
      <c r="Q181">
        <f>1422</f>
        <v>1422</v>
      </c>
      <c r="R181" t="s">
        <v>901</v>
      </c>
      <c r="S181" t="s">
        <v>902</v>
      </c>
      <c r="V181">
        <v>97</v>
      </c>
      <c r="W181">
        <v>93</v>
      </c>
      <c r="Y181">
        <v>2.2959553904562031</v>
      </c>
      <c r="Z181">
        <v>2.3125452365577184</v>
      </c>
      <c r="AB181">
        <f>H181/[1]Sheet1!$H$97</f>
        <v>6.9817481598713256</v>
      </c>
      <c r="AD181" t="e">
        <f t="shared" si="7"/>
        <v>#VALUE!</v>
      </c>
      <c r="AG181">
        <f t="shared" si="10"/>
        <v>83.251628516077858</v>
      </c>
    </row>
    <row r="182" spans="1:33" x14ac:dyDescent="0.25">
      <c r="A182" s="25" t="s">
        <v>402</v>
      </c>
      <c r="D182">
        <v>1</v>
      </c>
      <c r="E182">
        <v>1</v>
      </c>
      <c r="G182" s="21">
        <v>1620</v>
      </c>
      <c r="H182" s="21">
        <v>1620</v>
      </c>
      <c r="I182" s="21">
        <v>1620</v>
      </c>
      <c r="K182">
        <v>45</v>
      </c>
      <c r="L182" t="s">
        <v>108</v>
      </c>
      <c r="M182" s="19" t="s">
        <v>365</v>
      </c>
      <c r="N182">
        <v>79</v>
      </c>
      <c r="O182" s="41">
        <f>505+510</f>
        <v>1015</v>
      </c>
      <c r="P182" s="41">
        <f>505+510</f>
        <v>1015</v>
      </c>
      <c r="Q182" s="41">
        <f>505+510</f>
        <v>1015</v>
      </c>
      <c r="R182" s="41" t="s">
        <v>1167</v>
      </c>
      <c r="S182" t="s">
        <v>969</v>
      </c>
      <c r="V182">
        <v>79</v>
      </c>
      <c r="W182">
        <v>41</v>
      </c>
      <c r="Y182">
        <v>0.26691408199060274</v>
      </c>
      <c r="Z182">
        <v>0.2688427185664517</v>
      </c>
      <c r="AB182">
        <f>H182/[1]Sheet1!$H$97</f>
        <v>0.81165640609914225</v>
      </c>
      <c r="AD182" t="e">
        <f t="shared" si="7"/>
        <v>#VALUE!</v>
      </c>
      <c r="AG182">
        <f t="shared" si="10"/>
        <v>12.097922335490326</v>
      </c>
    </row>
    <row r="183" spans="1:33" x14ac:dyDescent="0.25">
      <c r="A183" s="25" t="s">
        <v>403</v>
      </c>
      <c r="D183">
        <v>0</v>
      </c>
      <c r="E183">
        <v>1</v>
      </c>
      <c r="G183" s="21">
        <v>2156</v>
      </c>
      <c r="H183" s="21">
        <v>2156</v>
      </c>
      <c r="I183" s="21">
        <v>2156</v>
      </c>
      <c r="K183">
        <v>37</v>
      </c>
      <c r="L183" t="s">
        <v>108</v>
      </c>
      <c r="M183" s="19" t="s">
        <v>365</v>
      </c>
      <c r="N183">
        <v>49</v>
      </c>
      <c r="O183">
        <v>1028</v>
      </c>
      <c r="P183">
        <v>1028</v>
      </c>
      <c r="Q183">
        <v>1028</v>
      </c>
      <c r="R183">
        <v>1028</v>
      </c>
      <c r="S183" t="s">
        <v>903</v>
      </c>
      <c r="V183">
        <v>79</v>
      </c>
      <c r="W183">
        <v>49</v>
      </c>
      <c r="Y183">
        <v>0.35522639553811081</v>
      </c>
      <c r="Z183">
        <v>0.35779314890695668</v>
      </c>
      <c r="AB183">
        <f>H183/[1]Sheet1!$H$97</f>
        <v>1.0802044515739202</v>
      </c>
      <c r="AD183" t="e">
        <f t="shared" si="7"/>
        <v>#VALUE!</v>
      </c>
      <c r="AG183">
        <f t="shared" si="10"/>
        <v>13.238346509557397</v>
      </c>
    </row>
    <row r="184" spans="1:33" x14ac:dyDescent="0.25">
      <c r="A184" s="25" t="s">
        <v>404</v>
      </c>
      <c r="E184">
        <v>1</v>
      </c>
      <c r="G184" s="21"/>
      <c r="H184" s="21"/>
      <c r="I184" s="21"/>
      <c r="M184" s="19" t="s">
        <v>365</v>
      </c>
      <c r="Y184">
        <v>0</v>
      </c>
      <c r="Z184">
        <v>0</v>
      </c>
      <c r="AB184">
        <f>H184/[1]Sheet1!$H$97</f>
        <v>0</v>
      </c>
      <c r="AD184" t="e">
        <f t="shared" si="7"/>
        <v>#VALUE!</v>
      </c>
      <c r="AG184">
        <f t="shared" si="10"/>
        <v>0</v>
      </c>
    </row>
    <row r="185" spans="1:33" x14ac:dyDescent="0.25">
      <c r="A185" s="25" t="s">
        <v>405</v>
      </c>
      <c r="E185">
        <v>1</v>
      </c>
      <c r="F185" t="s">
        <v>287</v>
      </c>
      <c r="G185" s="21"/>
      <c r="H185" s="21"/>
      <c r="I185" s="21"/>
      <c r="M185" s="19" t="s">
        <v>365</v>
      </c>
      <c r="N185">
        <v>72</v>
      </c>
      <c r="V185">
        <v>67</v>
      </c>
      <c r="W185">
        <v>36</v>
      </c>
      <c r="Y185">
        <v>0</v>
      </c>
      <c r="Z185">
        <v>0</v>
      </c>
      <c r="AB185">
        <f>H185/[1]Sheet1!$H$97</f>
        <v>0</v>
      </c>
      <c r="AD185" t="e">
        <f t="shared" si="7"/>
        <v>#VALUE!</v>
      </c>
      <c r="AG185">
        <f t="shared" si="10"/>
        <v>0</v>
      </c>
    </row>
    <row r="186" spans="1:33" x14ac:dyDescent="0.25">
      <c r="A186" s="25" t="s">
        <v>406</v>
      </c>
      <c r="E186">
        <v>1</v>
      </c>
      <c r="F186" t="s">
        <v>287</v>
      </c>
      <c r="G186" s="21"/>
      <c r="H186" s="21"/>
      <c r="I186" s="21"/>
      <c r="M186" s="19" t="s">
        <v>365</v>
      </c>
      <c r="N186">
        <v>74</v>
      </c>
      <c r="V186">
        <v>62</v>
      </c>
      <c r="W186">
        <v>34</v>
      </c>
      <c r="Y186">
        <v>0</v>
      </c>
      <c r="Z186">
        <v>0</v>
      </c>
      <c r="AB186">
        <f>H186/[1]Sheet1!$H$97</f>
        <v>0</v>
      </c>
      <c r="AD186" t="e">
        <f t="shared" si="7"/>
        <v>#VALUE!</v>
      </c>
      <c r="AG186">
        <f t="shared" si="10"/>
        <v>0</v>
      </c>
    </row>
    <row r="187" spans="1:33" x14ac:dyDescent="0.25">
      <c r="A187" s="25" t="s">
        <v>407</v>
      </c>
      <c r="D187">
        <v>0</v>
      </c>
      <c r="E187">
        <v>1</v>
      </c>
      <c r="G187" s="21">
        <v>1170</v>
      </c>
      <c r="H187" s="21">
        <v>1170</v>
      </c>
      <c r="I187" s="21">
        <v>1170</v>
      </c>
      <c r="K187">
        <v>66</v>
      </c>
      <c r="L187" t="s">
        <v>29</v>
      </c>
      <c r="M187" s="19" t="s">
        <v>365</v>
      </c>
      <c r="N187">
        <v>80</v>
      </c>
      <c r="O187">
        <f>1593-12.418*N187+0.065*N187*N187</f>
        <v>1015.5600000000001</v>
      </c>
      <c r="P187">
        <f>1451-5.739*N187</f>
        <v>991.88</v>
      </c>
      <c r="V187">
        <v>74</v>
      </c>
      <c r="W187">
        <v>63</v>
      </c>
      <c r="Y187">
        <v>0.19277128143765754</v>
      </c>
      <c r="Z187">
        <v>0.1941641856313262</v>
      </c>
      <c r="AB187">
        <f>H187/[1]Sheet1!$H$97</f>
        <v>0.58619629329382494</v>
      </c>
      <c r="AD187" t="e">
        <f t="shared" si="7"/>
        <v>#VALUE!</v>
      </c>
      <c r="AG187">
        <f t="shared" si="10"/>
        <v>12.814836251667529</v>
      </c>
    </row>
    <row r="188" spans="1:33" x14ac:dyDescent="0.25">
      <c r="A188" s="25" t="s">
        <v>408</v>
      </c>
      <c r="E188">
        <v>1</v>
      </c>
      <c r="F188" t="s">
        <v>409</v>
      </c>
      <c r="G188" s="21"/>
      <c r="H188" s="21"/>
      <c r="I188" s="21"/>
      <c r="M188" s="19" t="s">
        <v>365</v>
      </c>
      <c r="N188">
        <v>55</v>
      </c>
      <c r="V188">
        <v>67</v>
      </c>
      <c r="W188">
        <v>40</v>
      </c>
      <c r="Y188">
        <v>0</v>
      </c>
      <c r="Z188">
        <v>0</v>
      </c>
      <c r="AB188">
        <f>H188/[1]Sheet1!$H$97</f>
        <v>0</v>
      </c>
      <c r="AD188" t="e">
        <f t="shared" si="7"/>
        <v>#VALUE!</v>
      </c>
      <c r="AG188">
        <f t="shared" si="10"/>
        <v>0</v>
      </c>
    </row>
    <row r="189" spans="1:33" x14ac:dyDescent="0.25">
      <c r="A189" s="25" t="s">
        <v>410</v>
      </c>
      <c r="D189">
        <v>0</v>
      </c>
      <c r="E189">
        <v>1</v>
      </c>
      <c r="G189" s="21">
        <v>8427</v>
      </c>
      <c r="H189" s="21">
        <v>8427</v>
      </c>
      <c r="I189" s="21">
        <v>8427</v>
      </c>
      <c r="K189">
        <v>38</v>
      </c>
      <c r="L189" t="s">
        <v>29</v>
      </c>
      <c r="M189" s="19" t="s">
        <v>365</v>
      </c>
      <c r="N189">
        <v>47</v>
      </c>
      <c r="O189" s="41">
        <f>625+635</f>
        <v>1260</v>
      </c>
      <c r="P189" s="41">
        <f>625+635</f>
        <v>1260</v>
      </c>
      <c r="Q189" s="41">
        <f>625+635</f>
        <v>1260</v>
      </c>
      <c r="R189" s="41" t="s">
        <v>1168</v>
      </c>
      <c r="S189" s="7" t="s">
        <v>904</v>
      </c>
      <c r="V189">
        <v>91</v>
      </c>
      <c r="W189">
        <v>81</v>
      </c>
      <c r="Y189">
        <v>1.3884475116881538</v>
      </c>
      <c r="Z189">
        <v>1.3984799934317829</v>
      </c>
      <c r="AB189">
        <f>H189/[1]Sheet1!$H$97</f>
        <v>4.222116379134242</v>
      </c>
      <c r="AD189" t="e">
        <f t="shared" si="7"/>
        <v>#VALUE!</v>
      </c>
      <c r="AG189">
        <f t="shared" si="10"/>
        <v>53.142239750407747</v>
      </c>
    </row>
    <row r="190" spans="1:33" x14ac:dyDescent="0.25">
      <c r="A190" s="25" t="s">
        <v>411</v>
      </c>
      <c r="D190">
        <v>0</v>
      </c>
      <c r="E190">
        <v>1</v>
      </c>
      <c r="G190" s="21">
        <v>1864</v>
      </c>
      <c r="H190" s="21">
        <v>1864</v>
      </c>
      <c r="I190" s="21">
        <v>1864</v>
      </c>
      <c r="K190">
        <v>39</v>
      </c>
      <c r="L190" t="s">
        <v>29</v>
      </c>
      <c r="M190" s="19" t="s">
        <v>365</v>
      </c>
      <c r="N190">
        <v>27</v>
      </c>
      <c r="O190" s="41">
        <f>695+695</f>
        <v>1390</v>
      </c>
      <c r="P190" s="41">
        <f>695+695</f>
        <v>1390</v>
      </c>
      <c r="Q190" s="41">
        <f>695+695</f>
        <v>1390</v>
      </c>
      <c r="R190" s="41" t="s">
        <v>1169</v>
      </c>
      <c r="S190" t="s">
        <v>905</v>
      </c>
      <c r="V190">
        <v>94</v>
      </c>
      <c r="W190">
        <v>93</v>
      </c>
      <c r="Y190">
        <v>0.30711595606819969</v>
      </c>
      <c r="Z190">
        <v>0.3093350786468308</v>
      </c>
      <c r="AB190">
        <f>H190/[1]Sheet1!$H$97</f>
        <v>0.93390588948691433</v>
      </c>
      <c r="AD190" t="e">
        <f t="shared" si="7"/>
        <v>#VALUE!</v>
      </c>
      <c r="AG190">
        <f t="shared" si="10"/>
        <v>12.064068067226401</v>
      </c>
    </row>
    <row r="191" spans="1:33" x14ac:dyDescent="0.25">
      <c r="A191" s="25" t="s">
        <v>412</v>
      </c>
      <c r="D191">
        <v>0</v>
      </c>
      <c r="E191">
        <v>1</v>
      </c>
      <c r="G191" s="21">
        <v>1615</v>
      </c>
      <c r="H191" s="21">
        <v>1615</v>
      </c>
      <c r="I191" s="21">
        <v>1615</v>
      </c>
      <c r="K191">
        <v>57</v>
      </c>
      <c r="L191" t="s">
        <v>108</v>
      </c>
      <c r="M191" s="19" t="s">
        <v>365</v>
      </c>
      <c r="N191">
        <v>84</v>
      </c>
      <c r="O191">
        <f>1593-12.418*N191+0.065*N191*N191</f>
        <v>1008.5280000000001</v>
      </c>
      <c r="P191">
        <f>1451-5.739*N191</f>
        <v>968.92399999999998</v>
      </c>
      <c r="R191" t="s">
        <v>906</v>
      </c>
      <c r="T191">
        <v>-1</v>
      </c>
      <c r="U191">
        <v>-1</v>
      </c>
      <c r="V191">
        <v>72</v>
      </c>
      <c r="W191">
        <v>57</v>
      </c>
      <c r="Y191">
        <v>0.26609027309556998</v>
      </c>
      <c r="Z191">
        <v>0.26801295708939471</v>
      </c>
      <c r="AB191">
        <f>H191/[1]Sheet1!$H$97</f>
        <v>0.80915129373463868</v>
      </c>
      <c r="AD191" t="e">
        <f t="shared" si="7"/>
        <v>#VALUE!</v>
      </c>
      <c r="AG191">
        <f t="shared" si="10"/>
        <v>15.276738554095498</v>
      </c>
    </row>
    <row r="192" spans="1:33" x14ac:dyDescent="0.25">
      <c r="A192" s="25" t="s">
        <v>413</v>
      </c>
      <c r="D192">
        <v>1</v>
      </c>
      <c r="E192">
        <v>1</v>
      </c>
      <c r="G192" s="21" t="s">
        <v>28</v>
      </c>
      <c r="H192" s="21" t="s">
        <v>28</v>
      </c>
      <c r="I192" s="21" t="s">
        <v>28</v>
      </c>
      <c r="M192" s="19" t="s">
        <v>365</v>
      </c>
      <c r="V192">
        <v>75</v>
      </c>
      <c r="W192">
        <v>41</v>
      </c>
      <c r="Y192" t="s">
        <v>28</v>
      </c>
      <c r="Z192" t="s">
        <v>28</v>
      </c>
      <c r="AB192" t="e">
        <f>H192/[1]Sheet1!$H$97</f>
        <v>#VALUE!</v>
      </c>
      <c r="AD192" t="e">
        <f t="shared" si="7"/>
        <v>#VALUE!</v>
      </c>
      <c r="AG192" t="s">
        <v>28</v>
      </c>
    </row>
    <row r="193" spans="1:33" x14ac:dyDescent="0.25">
      <c r="A193" s="25" t="s">
        <v>414</v>
      </c>
      <c r="D193">
        <v>0</v>
      </c>
      <c r="E193">
        <v>1</v>
      </c>
      <c r="G193" s="21">
        <v>2272</v>
      </c>
      <c r="H193" s="21">
        <v>2272</v>
      </c>
      <c r="I193" s="21">
        <v>2272</v>
      </c>
      <c r="K193">
        <v>42</v>
      </c>
      <c r="L193" t="s">
        <v>108</v>
      </c>
      <c r="M193" s="19" t="s">
        <v>365</v>
      </c>
      <c r="N193">
        <v>50</v>
      </c>
      <c r="O193">
        <v>1230</v>
      </c>
      <c r="P193">
        <v>1230</v>
      </c>
      <c r="Q193">
        <v>1230</v>
      </c>
      <c r="R193">
        <v>1230</v>
      </c>
      <c r="S193" t="s">
        <v>907</v>
      </c>
      <c r="V193">
        <v>88</v>
      </c>
      <c r="W193">
        <v>79</v>
      </c>
      <c r="Y193">
        <v>0.37433876190287002</v>
      </c>
      <c r="Z193">
        <v>0.37704361517467788</v>
      </c>
      <c r="AB193">
        <f>H193/[1]Sheet1!$H$97</f>
        <v>1.138323058430402</v>
      </c>
      <c r="AD193" t="e">
        <f t="shared" si="7"/>
        <v>#VALUE!</v>
      </c>
      <c r="AG193">
        <f t="shared" ref="AG193:AG199" si="11">K193*Z193</f>
        <v>15.835831837336471</v>
      </c>
    </row>
    <row r="194" spans="1:33" x14ac:dyDescent="0.25">
      <c r="A194" s="25" t="s">
        <v>415</v>
      </c>
      <c r="C194">
        <v>40</v>
      </c>
      <c r="D194">
        <v>0</v>
      </c>
      <c r="E194">
        <v>1</v>
      </c>
      <c r="F194" t="s">
        <v>416</v>
      </c>
      <c r="G194" s="21">
        <v>7631</v>
      </c>
      <c r="H194" s="21">
        <v>7631</v>
      </c>
      <c r="I194" s="21">
        <v>7631</v>
      </c>
      <c r="K194">
        <v>22</v>
      </c>
      <c r="L194" t="s">
        <v>29</v>
      </c>
      <c r="M194" s="19" t="s">
        <v>365</v>
      </c>
      <c r="N194">
        <v>59</v>
      </c>
      <c r="O194">
        <v>1180</v>
      </c>
      <c r="P194">
        <v>1180</v>
      </c>
      <c r="Q194">
        <v>1180</v>
      </c>
      <c r="R194">
        <v>1180</v>
      </c>
      <c r="S194" t="s">
        <v>908</v>
      </c>
      <c r="V194">
        <v>78</v>
      </c>
      <c r="W194">
        <v>62</v>
      </c>
      <c r="Y194">
        <v>1.2572971355989442</v>
      </c>
      <c r="Z194">
        <v>1.2663819662843165</v>
      </c>
      <c r="AB194">
        <f>H194/[1]Sheet1!$H$97</f>
        <v>3.8233024907052804</v>
      </c>
      <c r="AD194" t="e">
        <f t="shared" si="7"/>
        <v>#VALUE!</v>
      </c>
      <c r="AG194">
        <f t="shared" si="11"/>
        <v>27.860403258254962</v>
      </c>
    </row>
    <row r="195" spans="1:33" x14ac:dyDescent="0.25">
      <c r="A195" s="25" t="s">
        <v>417</v>
      </c>
      <c r="D195">
        <v>1</v>
      </c>
      <c r="E195">
        <v>1</v>
      </c>
      <c r="G195" s="21">
        <v>916</v>
      </c>
      <c r="H195" s="21">
        <v>916</v>
      </c>
      <c r="I195" s="21">
        <v>916</v>
      </c>
      <c r="K195">
        <v>61</v>
      </c>
      <c r="L195" t="s">
        <v>29</v>
      </c>
      <c r="M195" s="19" t="s">
        <v>365</v>
      </c>
      <c r="N195">
        <v>91</v>
      </c>
      <c r="O195">
        <v>1117</v>
      </c>
      <c r="P195">
        <v>1117</v>
      </c>
      <c r="Q195">
        <v>1117</v>
      </c>
      <c r="R195">
        <v>1117</v>
      </c>
      <c r="S195" t="s">
        <v>909</v>
      </c>
      <c r="V195">
        <v>88</v>
      </c>
      <c r="W195">
        <v>74</v>
      </c>
      <c r="Y195">
        <v>0.15092178956999514</v>
      </c>
      <c r="Z195">
        <v>0.15201230259683318</v>
      </c>
      <c r="AB195">
        <f>H195/[1]Sheet1!$H$97</f>
        <v>0.45893658517704589</v>
      </c>
      <c r="AD195" t="e">
        <f t="shared" ref="AD195:AD258" si="12">AD194+Y195</f>
        <v>#VALUE!</v>
      </c>
      <c r="AG195">
        <f t="shared" si="11"/>
        <v>9.2727504584068239</v>
      </c>
    </row>
    <row r="196" spans="1:33" x14ac:dyDescent="0.25">
      <c r="A196" s="25" t="s">
        <v>418</v>
      </c>
      <c r="D196">
        <v>1</v>
      </c>
      <c r="E196">
        <v>1</v>
      </c>
      <c r="G196" s="21">
        <v>3301</v>
      </c>
      <c r="H196" s="21">
        <v>3301</v>
      </c>
      <c r="I196" s="21">
        <v>3301</v>
      </c>
      <c r="K196">
        <v>33</v>
      </c>
      <c r="L196" t="s">
        <v>29</v>
      </c>
      <c r="M196" s="19" t="s">
        <v>365</v>
      </c>
      <c r="N196">
        <v>92</v>
      </c>
      <c r="O196">
        <v>1010</v>
      </c>
      <c r="P196">
        <v>1010</v>
      </c>
      <c r="Q196">
        <v>1010</v>
      </c>
      <c r="R196">
        <v>1010</v>
      </c>
      <c r="S196" t="s">
        <v>910</v>
      </c>
      <c r="V196">
        <v>83</v>
      </c>
      <c r="W196">
        <v>63</v>
      </c>
      <c r="Y196">
        <v>0.54387863250060475</v>
      </c>
      <c r="Z196">
        <v>0.5478085271529981</v>
      </c>
      <c r="AB196">
        <f>H196/[1]Sheet1!$H$97</f>
        <v>1.6538751830452274</v>
      </c>
      <c r="AD196" t="e">
        <f t="shared" si="12"/>
        <v>#VALUE!</v>
      </c>
      <c r="AG196">
        <f t="shared" si="11"/>
        <v>18.077681396048938</v>
      </c>
    </row>
    <row r="197" spans="1:33" x14ac:dyDescent="0.25">
      <c r="A197" s="25" t="s">
        <v>419</v>
      </c>
      <c r="D197">
        <v>0</v>
      </c>
      <c r="E197">
        <v>1</v>
      </c>
      <c r="G197" s="21">
        <v>6234</v>
      </c>
      <c r="H197" s="21">
        <v>6234</v>
      </c>
      <c r="I197" s="21">
        <v>6234</v>
      </c>
      <c r="K197">
        <v>47</v>
      </c>
      <c r="L197" t="s">
        <v>29</v>
      </c>
      <c r="M197" s="19" t="s">
        <v>365</v>
      </c>
      <c r="N197">
        <v>67</v>
      </c>
      <c r="O197" s="41">
        <f>595+590</f>
        <v>1185</v>
      </c>
      <c r="P197" s="41">
        <f>595+590</f>
        <v>1185</v>
      </c>
      <c r="Q197" s="41">
        <f>595+590</f>
        <v>1185</v>
      </c>
      <c r="R197" s="41" t="s">
        <v>1170</v>
      </c>
      <c r="S197" t="s">
        <v>911</v>
      </c>
      <c r="V197">
        <v>88</v>
      </c>
      <c r="W197">
        <v>66</v>
      </c>
      <c r="Y197">
        <v>1.0271249303268009</v>
      </c>
      <c r="Z197">
        <v>1.0345466095946048</v>
      </c>
      <c r="AB197">
        <f>H197/[1]Sheet1!$H$97</f>
        <v>3.1233740960629954</v>
      </c>
      <c r="AD197" t="e">
        <f t="shared" si="12"/>
        <v>#VALUE!</v>
      </c>
      <c r="AG197">
        <f t="shared" si="11"/>
        <v>48.623690650946422</v>
      </c>
    </row>
    <row r="198" spans="1:33" x14ac:dyDescent="0.25">
      <c r="A198" s="25" t="s">
        <v>420</v>
      </c>
      <c r="E198">
        <v>1</v>
      </c>
      <c r="G198" s="21"/>
      <c r="H198" s="21"/>
      <c r="I198" s="21"/>
      <c r="M198" s="19" t="s">
        <v>365</v>
      </c>
      <c r="V198">
        <v>94</v>
      </c>
      <c r="W198">
        <v>88</v>
      </c>
      <c r="Y198">
        <v>0</v>
      </c>
      <c r="Z198">
        <v>0</v>
      </c>
      <c r="AB198">
        <f>H198/[1]Sheet1!$H$97</f>
        <v>0</v>
      </c>
      <c r="AD198" t="e">
        <f t="shared" si="12"/>
        <v>#VALUE!</v>
      </c>
      <c r="AG198">
        <f t="shared" si="11"/>
        <v>0</v>
      </c>
    </row>
    <row r="199" spans="1:33" x14ac:dyDescent="0.25">
      <c r="A199" s="25" t="s">
        <v>421</v>
      </c>
      <c r="D199">
        <v>0</v>
      </c>
      <c r="E199">
        <v>1</v>
      </c>
      <c r="G199" s="21">
        <v>1873</v>
      </c>
      <c r="H199" s="21">
        <v>1873</v>
      </c>
      <c r="I199" s="21">
        <v>1873</v>
      </c>
      <c r="K199">
        <v>41</v>
      </c>
      <c r="L199" t="s">
        <v>29</v>
      </c>
      <c r="M199" s="19" t="s">
        <v>365</v>
      </c>
      <c r="N199">
        <v>88</v>
      </c>
      <c r="O199">
        <f>1593-12.418*N199+0.065*N199*N199</f>
        <v>1003.5760000000002</v>
      </c>
      <c r="P199">
        <f>1451-5.739*N199</f>
        <v>945.96800000000007</v>
      </c>
      <c r="T199">
        <v>-1</v>
      </c>
      <c r="U199">
        <v>-1</v>
      </c>
      <c r="V199">
        <v>72</v>
      </c>
      <c r="W199">
        <v>48</v>
      </c>
      <c r="Y199">
        <v>0.3085988120792586</v>
      </c>
      <c r="Z199">
        <v>0.31082864930553333</v>
      </c>
      <c r="AB199">
        <f>H199/[1]Sheet1!$H$97</f>
        <v>0.93841509174302062</v>
      </c>
      <c r="AD199" t="e">
        <f t="shared" si="12"/>
        <v>#VALUE!</v>
      </c>
      <c r="AG199">
        <f t="shared" si="11"/>
        <v>12.743974621526867</v>
      </c>
    </row>
    <row r="200" spans="1:33" x14ac:dyDescent="0.25">
      <c r="A200" s="25" t="s">
        <v>422</v>
      </c>
      <c r="D200">
        <v>1</v>
      </c>
      <c r="E200">
        <v>1</v>
      </c>
      <c r="G200" s="21" t="s">
        <v>28</v>
      </c>
      <c r="H200" s="21" t="s">
        <v>28</v>
      </c>
      <c r="I200" s="21" t="s">
        <v>28</v>
      </c>
      <c r="M200" s="19" t="s">
        <v>365</v>
      </c>
      <c r="N200">
        <v>71</v>
      </c>
      <c r="V200" t="s">
        <v>287</v>
      </c>
      <c r="Y200" t="s">
        <v>28</v>
      </c>
      <c r="Z200" t="s">
        <v>28</v>
      </c>
      <c r="AB200" t="e">
        <f>H200/[1]Sheet1!$H$97</f>
        <v>#VALUE!</v>
      </c>
      <c r="AD200" t="e">
        <f t="shared" si="12"/>
        <v>#VALUE!</v>
      </c>
      <c r="AG200" t="s">
        <v>28</v>
      </c>
    </row>
    <row r="201" spans="1:33" x14ac:dyDescent="0.25">
      <c r="A201" s="25" t="s">
        <v>423</v>
      </c>
      <c r="D201">
        <v>1</v>
      </c>
      <c r="E201">
        <v>1</v>
      </c>
      <c r="G201" s="21">
        <v>2871</v>
      </c>
      <c r="H201" s="21">
        <v>2871</v>
      </c>
      <c r="I201" s="21">
        <v>2871</v>
      </c>
      <c r="K201">
        <v>43</v>
      </c>
      <c r="L201" t="s">
        <v>29</v>
      </c>
      <c r="M201" s="19" t="s">
        <v>365</v>
      </c>
      <c r="N201">
        <v>62</v>
      </c>
      <c r="O201">
        <v>1090</v>
      </c>
      <c r="P201">
        <v>1090</v>
      </c>
      <c r="Q201">
        <v>1090</v>
      </c>
      <c r="R201">
        <v>1090</v>
      </c>
      <c r="S201" t="s">
        <v>912</v>
      </c>
      <c r="V201">
        <v>88</v>
      </c>
      <c r="W201">
        <v>74</v>
      </c>
      <c r="Y201">
        <v>0.47303106752779039</v>
      </c>
      <c r="Z201">
        <v>0.47644904012610045</v>
      </c>
      <c r="AB201">
        <f>H201/[1]Sheet1!$H$97</f>
        <v>1.4384355196979244</v>
      </c>
      <c r="AD201" t="e">
        <f t="shared" si="12"/>
        <v>#VALUE!</v>
      </c>
      <c r="AG201">
        <f t="shared" ref="AG201:AG246" si="13">K201*Z201</f>
        <v>20.48730872542232</v>
      </c>
    </row>
    <row r="202" spans="1:33" x14ac:dyDescent="0.25">
      <c r="A202" s="25" t="s">
        <v>424</v>
      </c>
      <c r="E202">
        <v>1</v>
      </c>
      <c r="G202" s="21"/>
      <c r="H202" s="21"/>
      <c r="I202" s="21"/>
      <c r="M202" s="19" t="s">
        <v>365</v>
      </c>
      <c r="Y202">
        <v>0</v>
      </c>
      <c r="Z202">
        <v>0</v>
      </c>
      <c r="AB202">
        <f>H202/[1]Sheet1!$H$97</f>
        <v>0</v>
      </c>
      <c r="AD202" t="e">
        <f t="shared" si="12"/>
        <v>#VALUE!</v>
      </c>
      <c r="AG202">
        <f t="shared" si="13"/>
        <v>0</v>
      </c>
    </row>
    <row r="203" spans="1:33" x14ac:dyDescent="0.25">
      <c r="A203" s="25" t="s">
        <v>425</v>
      </c>
      <c r="E203">
        <v>1</v>
      </c>
      <c r="G203" s="21"/>
      <c r="H203" s="21"/>
      <c r="I203" s="21"/>
      <c r="M203" s="19" t="s">
        <v>365</v>
      </c>
      <c r="Y203">
        <v>0</v>
      </c>
      <c r="Z203">
        <v>0</v>
      </c>
      <c r="AB203">
        <f>H203/[1]Sheet1!$H$97</f>
        <v>0</v>
      </c>
      <c r="AD203" t="e">
        <f t="shared" si="12"/>
        <v>#VALUE!</v>
      </c>
      <c r="AG203">
        <f t="shared" si="13"/>
        <v>0</v>
      </c>
    </row>
    <row r="204" spans="1:33" x14ac:dyDescent="0.25">
      <c r="A204" s="25" t="s">
        <v>426</v>
      </c>
      <c r="D204">
        <v>1</v>
      </c>
      <c r="E204">
        <v>1</v>
      </c>
      <c r="G204" s="21">
        <v>3195</v>
      </c>
      <c r="H204" s="21">
        <v>3195</v>
      </c>
      <c r="I204" s="21">
        <v>3195</v>
      </c>
      <c r="K204">
        <v>42</v>
      </c>
      <c r="L204" t="s">
        <v>29</v>
      </c>
      <c r="M204" s="19" t="s">
        <v>365</v>
      </c>
      <c r="N204">
        <v>66</v>
      </c>
      <c r="O204">
        <v>1092</v>
      </c>
      <c r="P204">
        <v>1092</v>
      </c>
      <c r="Q204">
        <v>1092</v>
      </c>
      <c r="R204">
        <v>1092</v>
      </c>
      <c r="S204" t="s">
        <v>913</v>
      </c>
      <c r="V204">
        <v>88</v>
      </c>
      <c r="W204">
        <v>74</v>
      </c>
      <c r="Y204">
        <v>0.52641388392591093</v>
      </c>
      <c r="Z204">
        <v>0.53021758383939077</v>
      </c>
      <c r="AB204">
        <f>H204/[1]Sheet1!$H$97</f>
        <v>1.6007668009177527</v>
      </c>
      <c r="AD204" t="e">
        <f t="shared" si="12"/>
        <v>#VALUE!</v>
      </c>
      <c r="AG204">
        <f t="shared" si="13"/>
        <v>22.269138521254412</v>
      </c>
    </row>
    <row r="205" spans="1:33" x14ac:dyDescent="0.25">
      <c r="A205" s="25" t="s">
        <v>427</v>
      </c>
      <c r="E205">
        <v>1</v>
      </c>
      <c r="G205" s="21"/>
      <c r="H205" s="21"/>
      <c r="I205" s="21"/>
      <c r="M205" s="19" t="s">
        <v>365</v>
      </c>
      <c r="Y205">
        <v>0</v>
      </c>
      <c r="Z205">
        <v>0</v>
      </c>
      <c r="AB205">
        <f>H205/[1]Sheet1!$H$97</f>
        <v>0</v>
      </c>
      <c r="AD205" t="e">
        <f t="shared" si="12"/>
        <v>#VALUE!</v>
      </c>
      <c r="AG205">
        <f t="shared" si="13"/>
        <v>0</v>
      </c>
    </row>
    <row r="206" spans="1:33" x14ac:dyDescent="0.25">
      <c r="A206" s="25" t="s">
        <v>428</v>
      </c>
      <c r="D206">
        <v>0</v>
      </c>
      <c r="E206">
        <v>1</v>
      </c>
      <c r="G206" s="21">
        <v>1700</v>
      </c>
      <c r="H206" s="21">
        <v>1700</v>
      </c>
      <c r="I206" s="21">
        <v>1700</v>
      </c>
      <c r="K206">
        <v>35</v>
      </c>
      <c r="L206" t="s">
        <v>29</v>
      </c>
      <c r="M206" s="19" t="s">
        <v>365</v>
      </c>
      <c r="N206">
        <v>77</v>
      </c>
      <c r="O206" s="41">
        <f>535+555</f>
        <v>1090</v>
      </c>
      <c r="P206" s="41">
        <f>535+555</f>
        <v>1090</v>
      </c>
      <c r="Q206" s="41">
        <f>535+555</f>
        <v>1090</v>
      </c>
      <c r="R206" s="41" t="s">
        <v>1171</v>
      </c>
      <c r="S206" t="s">
        <v>914</v>
      </c>
      <c r="V206">
        <v>75</v>
      </c>
      <c r="W206">
        <v>58</v>
      </c>
      <c r="Y206">
        <v>0.28009502431112632</v>
      </c>
      <c r="Z206">
        <v>0.28211890219936286</v>
      </c>
      <c r="AB206">
        <f>H206/[1]Sheet1!$H$97</f>
        <v>0.8517382039311987</v>
      </c>
      <c r="AD206" t="e">
        <f t="shared" si="12"/>
        <v>#VALUE!</v>
      </c>
      <c r="AG206">
        <f t="shared" si="13"/>
        <v>9.8741615769777002</v>
      </c>
    </row>
    <row r="207" spans="1:33" x14ac:dyDescent="0.25">
      <c r="A207" s="25" t="s">
        <v>429</v>
      </c>
      <c r="D207">
        <v>0</v>
      </c>
      <c r="E207">
        <v>1</v>
      </c>
      <c r="G207" s="21">
        <v>4536</v>
      </c>
      <c r="H207" s="21">
        <v>4536</v>
      </c>
      <c r="I207" s="21">
        <v>4536</v>
      </c>
      <c r="K207">
        <v>37</v>
      </c>
      <c r="L207" t="s">
        <v>29</v>
      </c>
      <c r="M207" s="19" t="s">
        <v>365</v>
      </c>
      <c r="N207">
        <v>37</v>
      </c>
      <c r="O207" s="41">
        <f>580+570</f>
        <v>1150</v>
      </c>
      <c r="P207" s="41">
        <f>580+570</f>
        <v>1150</v>
      </c>
      <c r="Q207" s="41">
        <f>580+570</f>
        <v>1150</v>
      </c>
      <c r="R207" s="41" t="s">
        <v>1172</v>
      </c>
      <c r="S207" t="s">
        <v>915</v>
      </c>
      <c r="V207">
        <v>90</v>
      </c>
      <c r="W207">
        <v>80</v>
      </c>
      <c r="Y207">
        <v>0.74735942957368762</v>
      </c>
      <c r="Z207">
        <v>0.75275961198606467</v>
      </c>
      <c r="AB207">
        <f>H207/[1]Sheet1!$H$97</f>
        <v>2.2726379370775982</v>
      </c>
      <c r="AD207" t="e">
        <f t="shared" si="12"/>
        <v>#VALUE!</v>
      </c>
      <c r="AG207">
        <f t="shared" si="13"/>
        <v>27.852105643484393</v>
      </c>
    </row>
    <row r="208" spans="1:33" x14ac:dyDescent="0.25">
      <c r="A208" s="25" t="s">
        <v>430</v>
      </c>
      <c r="D208">
        <v>0</v>
      </c>
      <c r="E208">
        <v>1</v>
      </c>
      <c r="G208" s="21">
        <v>1640</v>
      </c>
      <c r="H208" s="21">
        <v>1640</v>
      </c>
      <c r="I208" s="21">
        <v>1640</v>
      </c>
      <c r="K208">
        <v>19</v>
      </c>
      <c r="L208" t="s">
        <v>108</v>
      </c>
      <c r="M208" s="19" t="s">
        <v>365</v>
      </c>
      <c r="N208">
        <v>75</v>
      </c>
      <c r="O208" s="41">
        <f>530+495</f>
        <v>1025</v>
      </c>
      <c r="P208" s="41">
        <f>530+495</f>
        <v>1025</v>
      </c>
      <c r="Q208" s="41">
        <f>530+495</f>
        <v>1025</v>
      </c>
      <c r="R208" s="41" t="s">
        <v>1173</v>
      </c>
      <c r="S208" t="s">
        <v>430</v>
      </c>
      <c r="V208">
        <v>66</v>
      </c>
      <c r="W208">
        <v>44</v>
      </c>
      <c r="Y208">
        <v>0.27020931757073363</v>
      </c>
      <c r="Z208">
        <v>0.27216176447467949</v>
      </c>
      <c r="AB208">
        <f>H208/[1]Sheet1!$H$97</f>
        <v>0.8216768555571563</v>
      </c>
      <c r="AD208" t="e">
        <f t="shared" si="12"/>
        <v>#VALUE!</v>
      </c>
      <c r="AG208">
        <f t="shared" si="13"/>
        <v>5.1710735250189099</v>
      </c>
    </row>
    <row r="209" spans="1:33" x14ac:dyDescent="0.25">
      <c r="A209" s="25" t="s">
        <v>431</v>
      </c>
      <c r="D209">
        <v>0</v>
      </c>
      <c r="E209">
        <v>1</v>
      </c>
      <c r="G209" s="21">
        <v>2759</v>
      </c>
      <c r="H209" s="21">
        <v>2759</v>
      </c>
      <c r="I209" s="21">
        <v>2759</v>
      </c>
      <c r="K209">
        <v>38</v>
      </c>
      <c r="L209" t="s">
        <v>108</v>
      </c>
      <c r="M209" s="19" t="s">
        <v>365</v>
      </c>
      <c r="N209">
        <v>54</v>
      </c>
      <c r="O209" s="41">
        <f>425+435</f>
        <v>860</v>
      </c>
      <c r="P209" s="41">
        <f>425+435</f>
        <v>860</v>
      </c>
      <c r="Q209" s="41">
        <f>425+435</f>
        <v>860</v>
      </c>
      <c r="R209" s="41" t="s">
        <v>1174</v>
      </c>
      <c r="S209" t="s">
        <v>970</v>
      </c>
      <c r="V209">
        <v>59</v>
      </c>
      <c r="W209">
        <v>49</v>
      </c>
      <c r="Y209">
        <v>0.45457774827905739</v>
      </c>
      <c r="Z209">
        <v>0.4578623830400248</v>
      </c>
      <c r="AB209">
        <f>H209/[1]Sheet1!$H$97</f>
        <v>1.3823210027330453</v>
      </c>
      <c r="AD209" t="e">
        <f t="shared" si="12"/>
        <v>#VALUE!</v>
      </c>
      <c r="AG209">
        <f t="shared" si="13"/>
        <v>17.398770555520944</v>
      </c>
    </row>
    <row r="210" spans="1:33" x14ac:dyDescent="0.25">
      <c r="A210" s="25" t="s">
        <v>432</v>
      </c>
      <c r="D210">
        <v>0</v>
      </c>
      <c r="E210">
        <v>1</v>
      </c>
      <c r="F210" t="s">
        <v>287</v>
      </c>
      <c r="G210" s="21"/>
      <c r="H210" s="21"/>
      <c r="I210" s="21"/>
      <c r="M210" s="19" t="s">
        <v>365</v>
      </c>
      <c r="N210">
        <v>63</v>
      </c>
      <c r="V210">
        <v>70</v>
      </c>
      <c r="W210">
        <v>33</v>
      </c>
      <c r="Y210">
        <v>0</v>
      </c>
      <c r="Z210">
        <v>0</v>
      </c>
      <c r="AB210">
        <f>H210/[1]Sheet1!$H$97</f>
        <v>0</v>
      </c>
      <c r="AD210" t="e">
        <f t="shared" si="12"/>
        <v>#VALUE!</v>
      </c>
      <c r="AG210">
        <f t="shared" si="13"/>
        <v>0</v>
      </c>
    </row>
    <row r="211" spans="1:33" x14ac:dyDescent="0.25">
      <c r="A211" s="25" t="s">
        <v>433</v>
      </c>
      <c r="D211">
        <v>0</v>
      </c>
      <c r="E211">
        <v>1</v>
      </c>
      <c r="G211" s="21">
        <v>1200</v>
      </c>
      <c r="H211" s="21">
        <v>1200</v>
      </c>
      <c r="I211" s="21">
        <v>1200</v>
      </c>
      <c r="K211">
        <v>7</v>
      </c>
      <c r="L211" t="s">
        <v>108</v>
      </c>
      <c r="M211" s="19" t="s">
        <v>365</v>
      </c>
      <c r="N211">
        <v>52</v>
      </c>
      <c r="O211">
        <f>1593-12.418*N211+0.065*N211*N211</f>
        <v>1123.0239999999999</v>
      </c>
      <c r="P211">
        <f>1451-5.739*N211</f>
        <v>1152.5720000000001</v>
      </c>
      <c r="T211">
        <v>-1</v>
      </c>
      <c r="U211">
        <v>-1</v>
      </c>
      <c r="V211">
        <v>52</v>
      </c>
      <c r="W211">
        <v>24</v>
      </c>
      <c r="Y211">
        <v>0.19771413480785388</v>
      </c>
      <c r="Z211">
        <v>0.19914275449366792</v>
      </c>
      <c r="AB211">
        <f>H211/[1]Sheet1!$H$97</f>
        <v>0.60122696748084614</v>
      </c>
      <c r="AD211" t="e">
        <f t="shared" si="12"/>
        <v>#VALUE!</v>
      </c>
      <c r="AG211">
        <f t="shared" si="13"/>
        <v>1.3939992814556754</v>
      </c>
    </row>
    <row r="212" spans="1:33" x14ac:dyDescent="0.25">
      <c r="A212" s="25" t="s">
        <v>434</v>
      </c>
      <c r="E212">
        <v>1</v>
      </c>
      <c r="G212" s="21"/>
      <c r="H212" s="21"/>
      <c r="I212" s="21"/>
      <c r="M212" s="19" t="s">
        <v>365</v>
      </c>
      <c r="N212">
        <v>73</v>
      </c>
      <c r="V212">
        <v>89</v>
      </c>
      <c r="W212">
        <v>66</v>
      </c>
      <c r="Y212">
        <v>0</v>
      </c>
      <c r="Z212">
        <v>0</v>
      </c>
      <c r="AB212">
        <f>H212/[1]Sheet1!$H$97</f>
        <v>0</v>
      </c>
      <c r="AD212" t="e">
        <f t="shared" si="12"/>
        <v>#VALUE!</v>
      </c>
      <c r="AG212">
        <f t="shared" si="13"/>
        <v>0</v>
      </c>
    </row>
    <row r="213" spans="1:33" x14ac:dyDescent="0.25">
      <c r="A213" s="25" t="s">
        <v>435</v>
      </c>
      <c r="E213">
        <v>1</v>
      </c>
      <c r="F213" t="s">
        <v>436</v>
      </c>
      <c r="G213" s="21"/>
      <c r="H213" s="21"/>
      <c r="I213" s="21"/>
      <c r="M213" s="19" t="s">
        <v>365</v>
      </c>
      <c r="N213">
        <v>86</v>
      </c>
      <c r="V213">
        <v>74</v>
      </c>
      <c r="W213">
        <v>59</v>
      </c>
      <c r="Y213">
        <v>0</v>
      </c>
      <c r="Z213">
        <v>0</v>
      </c>
      <c r="AB213">
        <f>H213/[1]Sheet1!$H$97</f>
        <v>0</v>
      </c>
      <c r="AD213" t="e">
        <f t="shared" si="12"/>
        <v>#VALUE!</v>
      </c>
      <c r="AG213">
        <f t="shared" si="13"/>
        <v>0</v>
      </c>
    </row>
    <row r="214" spans="1:33" x14ac:dyDescent="0.25">
      <c r="A214" s="25" t="s">
        <v>437</v>
      </c>
      <c r="D214">
        <v>0</v>
      </c>
      <c r="E214">
        <v>1</v>
      </c>
      <c r="G214" s="21">
        <v>2034</v>
      </c>
      <c r="H214" s="21">
        <v>2034</v>
      </c>
      <c r="I214" s="21">
        <v>2034</v>
      </c>
      <c r="K214">
        <v>36</v>
      </c>
      <c r="L214" t="s">
        <v>29</v>
      </c>
      <c r="M214" s="19" t="s">
        <v>365</v>
      </c>
      <c r="N214">
        <v>68</v>
      </c>
      <c r="O214">
        <v>1106</v>
      </c>
      <c r="P214">
        <v>1106</v>
      </c>
      <c r="Q214">
        <v>1106</v>
      </c>
      <c r="R214">
        <v>1106</v>
      </c>
      <c r="S214" t="s">
        <v>916</v>
      </c>
      <c r="V214">
        <v>79</v>
      </c>
      <c r="W214">
        <v>68</v>
      </c>
      <c r="Y214">
        <v>0.3351254584993123</v>
      </c>
      <c r="Z214">
        <v>0.33754696886676711</v>
      </c>
      <c r="AB214">
        <f>H214/[1]Sheet1!$H$97</f>
        <v>1.0190797098800342</v>
      </c>
      <c r="AD214" t="e">
        <f t="shared" si="12"/>
        <v>#VALUE!</v>
      </c>
      <c r="AG214">
        <f t="shared" si="13"/>
        <v>12.151690879203615</v>
      </c>
    </row>
    <row r="215" spans="1:33" x14ac:dyDescent="0.25">
      <c r="A215" s="25" t="s">
        <v>438</v>
      </c>
      <c r="E215">
        <v>1</v>
      </c>
      <c r="F215" t="s">
        <v>439</v>
      </c>
      <c r="G215" s="21"/>
      <c r="H215" s="21"/>
      <c r="I215" s="21"/>
      <c r="M215" s="19" t="s">
        <v>365</v>
      </c>
      <c r="N215">
        <v>67</v>
      </c>
      <c r="V215">
        <v>81</v>
      </c>
      <c r="W215">
        <v>66</v>
      </c>
      <c r="Y215">
        <v>0</v>
      </c>
      <c r="Z215">
        <v>0</v>
      </c>
      <c r="AB215">
        <f>H215/[1]Sheet1!$H$97</f>
        <v>0</v>
      </c>
      <c r="AD215" t="e">
        <f t="shared" si="12"/>
        <v>#VALUE!</v>
      </c>
      <c r="AG215">
        <f t="shared" si="13"/>
        <v>0</v>
      </c>
    </row>
    <row r="216" spans="1:33" x14ac:dyDescent="0.25">
      <c r="A216" s="25" t="s">
        <v>440</v>
      </c>
      <c r="D216">
        <v>0</v>
      </c>
      <c r="E216">
        <v>1</v>
      </c>
      <c r="G216" s="21">
        <v>4395</v>
      </c>
      <c r="H216" s="21">
        <v>4395</v>
      </c>
      <c r="I216" s="21">
        <v>4395</v>
      </c>
      <c r="K216">
        <v>22</v>
      </c>
      <c r="L216" t="s">
        <v>108</v>
      </c>
      <c r="M216" s="19" t="s">
        <v>365</v>
      </c>
      <c r="N216">
        <v>74</v>
      </c>
      <c r="O216" s="41">
        <f>515+555</f>
        <v>1070</v>
      </c>
      <c r="P216" s="41">
        <f>515+555</f>
        <v>1070</v>
      </c>
      <c r="Q216" s="41">
        <f>515+555</f>
        <v>1070</v>
      </c>
      <c r="R216" s="41" t="s">
        <v>1175</v>
      </c>
      <c r="S216" t="s">
        <v>971</v>
      </c>
      <c r="V216">
        <v>72</v>
      </c>
      <c r="W216">
        <v>47</v>
      </c>
      <c r="Y216">
        <v>0.72412801873376487</v>
      </c>
      <c r="Z216">
        <v>0.72936033833305869</v>
      </c>
      <c r="AB216">
        <f>H216/[1]Sheet1!$H$97</f>
        <v>2.2019937683985988</v>
      </c>
      <c r="AD216" t="e">
        <f t="shared" si="12"/>
        <v>#VALUE!</v>
      </c>
      <c r="AG216">
        <f t="shared" si="13"/>
        <v>16.04592744332729</v>
      </c>
    </row>
    <row r="217" spans="1:33" x14ac:dyDescent="0.25">
      <c r="A217" s="25" t="s">
        <v>441</v>
      </c>
      <c r="E217">
        <v>1</v>
      </c>
      <c r="F217" t="s">
        <v>442</v>
      </c>
      <c r="G217" s="21"/>
      <c r="H217" s="21"/>
      <c r="I217" s="21"/>
      <c r="M217" s="19" t="s">
        <v>365</v>
      </c>
      <c r="N217">
        <v>32</v>
      </c>
      <c r="O217" t="s">
        <v>443</v>
      </c>
      <c r="P217" t="s">
        <v>443</v>
      </c>
      <c r="Q217" t="s">
        <v>443</v>
      </c>
      <c r="R217" t="s">
        <v>443</v>
      </c>
      <c r="V217">
        <v>92</v>
      </c>
      <c r="W217">
        <v>83</v>
      </c>
      <c r="Y217">
        <v>0</v>
      </c>
      <c r="Z217">
        <v>0</v>
      </c>
      <c r="AB217">
        <f>H217/[1]Sheet1!$H$97</f>
        <v>0</v>
      </c>
      <c r="AD217" t="e">
        <f t="shared" si="12"/>
        <v>#VALUE!</v>
      </c>
      <c r="AG217">
        <f t="shared" si="13"/>
        <v>0</v>
      </c>
    </row>
    <row r="218" spans="1:33" x14ac:dyDescent="0.25">
      <c r="A218" s="22" t="s">
        <v>444</v>
      </c>
      <c r="E218">
        <v>1</v>
      </c>
      <c r="F218" t="s">
        <v>445</v>
      </c>
      <c r="G218" s="21"/>
      <c r="H218" s="21"/>
      <c r="I218" s="21"/>
      <c r="M218" s="19" t="s">
        <v>365</v>
      </c>
      <c r="V218">
        <v>88</v>
      </c>
      <c r="W218">
        <v>57</v>
      </c>
      <c r="Y218">
        <v>0</v>
      </c>
      <c r="Z218">
        <v>0</v>
      </c>
      <c r="AB218">
        <f>H218/[1]Sheet1!$H$97</f>
        <v>0</v>
      </c>
      <c r="AD218" t="e">
        <f t="shared" si="12"/>
        <v>#VALUE!</v>
      </c>
      <c r="AG218">
        <f t="shared" si="13"/>
        <v>0</v>
      </c>
    </row>
    <row r="219" spans="1:33" x14ac:dyDescent="0.25">
      <c r="A219" s="25" t="s">
        <v>446</v>
      </c>
      <c r="D219">
        <v>1</v>
      </c>
      <c r="E219">
        <v>1</v>
      </c>
      <c r="G219" s="21">
        <v>3300</v>
      </c>
      <c r="H219" s="21">
        <v>3300</v>
      </c>
      <c r="I219" s="21">
        <v>3300</v>
      </c>
      <c r="K219">
        <v>36</v>
      </c>
      <c r="L219" t="s">
        <v>108</v>
      </c>
      <c r="M219" s="19" t="s">
        <v>365</v>
      </c>
      <c r="N219">
        <v>66</v>
      </c>
      <c r="O219" s="41">
        <f>512+520</f>
        <v>1032</v>
      </c>
      <c r="P219" s="41">
        <f>512+520</f>
        <v>1032</v>
      </c>
      <c r="Q219" s="41">
        <f>512+520</f>
        <v>1032</v>
      </c>
      <c r="R219" s="41" t="s">
        <v>1176</v>
      </c>
      <c r="S219" t="s">
        <v>972</v>
      </c>
      <c r="V219">
        <v>81</v>
      </c>
      <c r="W219">
        <v>65</v>
      </c>
      <c r="Y219">
        <v>0.54371387072159816</v>
      </c>
      <c r="Z219">
        <v>0.54764257485758672</v>
      </c>
      <c r="AB219">
        <f>H219/[1]Sheet1!$H$97</f>
        <v>1.6533741605723269</v>
      </c>
      <c r="AD219" t="e">
        <f t="shared" si="12"/>
        <v>#VALUE!</v>
      </c>
      <c r="AG219">
        <f t="shared" si="13"/>
        <v>19.715132694873123</v>
      </c>
    </row>
    <row r="220" spans="1:33" x14ac:dyDescent="0.25">
      <c r="A220" s="25" t="s">
        <v>447</v>
      </c>
      <c r="D220">
        <v>1</v>
      </c>
      <c r="E220">
        <v>1</v>
      </c>
      <c r="F220" t="s">
        <v>448</v>
      </c>
      <c r="G220" s="21"/>
      <c r="H220" s="21"/>
      <c r="I220" s="21"/>
      <c r="M220" s="19" t="s">
        <v>365</v>
      </c>
      <c r="N220">
        <v>97</v>
      </c>
      <c r="V220">
        <v>71</v>
      </c>
      <c r="W220">
        <v>43</v>
      </c>
      <c r="Y220">
        <v>0</v>
      </c>
      <c r="Z220">
        <v>0</v>
      </c>
      <c r="AB220">
        <f>H220/[1]Sheet1!$H$97</f>
        <v>0</v>
      </c>
      <c r="AD220" t="e">
        <f t="shared" si="12"/>
        <v>#VALUE!</v>
      </c>
      <c r="AG220">
        <f t="shared" si="13"/>
        <v>0</v>
      </c>
    </row>
    <row r="221" spans="1:33" x14ac:dyDescent="0.25">
      <c r="A221" s="25" t="s">
        <v>449</v>
      </c>
      <c r="D221">
        <v>0</v>
      </c>
      <c r="E221">
        <v>1</v>
      </c>
      <c r="G221" s="21">
        <v>8928</v>
      </c>
      <c r="H221" s="21">
        <v>8928</v>
      </c>
      <c r="I221" s="21">
        <v>8928</v>
      </c>
      <c r="K221">
        <v>14</v>
      </c>
      <c r="L221" t="s">
        <v>29</v>
      </c>
      <c r="M221" s="19" t="s">
        <v>365</v>
      </c>
      <c r="N221">
        <v>81</v>
      </c>
      <c r="O221">
        <v>1057</v>
      </c>
      <c r="P221">
        <v>1057</v>
      </c>
      <c r="Q221">
        <v>1057</v>
      </c>
      <c r="R221">
        <v>1057</v>
      </c>
      <c r="S221" t="s">
        <v>917</v>
      </c>
      <c r="V221">
        <v>76</v>
      </c>
      <c r="W221">
        <v>51</v>
      </c>
      <c r="Y221">
        <v>1.4709931629704329</v>
      </c>
      <c r="Z221">
        <v>1.4816220934328892</v>
      </c>
      <c r="AB221">
        <f>H221/[1]Sheet1!$H$97</f>
        <v>4.4731286380574948</v>
      </c>
      <c r="AD221" t="e">
        <f t="shared" si="12"/>
        <v>#VALUE!</v>
      </c>
      <c r="AG221">
        <f t="shared" si="13"/>
        <v>20.742709308060448</v>
      </c>
    </row>
    <row r="222" spans="1:33" x14ac:dyDescent="0.25">
      <c r="A222" s="25" t="s">
        <v>450</v>
      </c>
      <c r="D222">
        <v>0</v>
      </c>
      <c r="E222">
        <v>1</v>
      </c>
      <c r="F222" t="s">
        <v>287</v>
      </c>
      <c r="G222" s="21"/>
      <c r="H222" s="21"/>
      <c r="I222" s="21"/>
      <c r="M222" s="19" t="s">
        <v>365</v>
      </c>
      <c r="N222">
        <v>75</v>
      </c>
      <c r="V222">
        <v>69</v>
      </c>
      <c r="W222">
        <v>41</v>
      </c>
      <c r="Y222">
        <v>0</v>
      </c>
      <c r="Z222">
        <v>0</v>
      </c>
      <c r="AB222">
        <f>H222/[1]Sheet1!$H$97</f>
        <v>0</v>
      </c>
      <c r="AD222" t="e">
        <f t="shared" si="12"/>
        <v>#VALUE!</v>
      </c>
      <c r="AG222">
        <f t="shared" si="13"/>
        <v>0</v>
      </c>
    </row>
    <row r="223" spans="1:33" x14ac:dyDescent="0.25">
      <c r="A223" s="25" t="s">
        <v>451</v>
      </c>
      <c r="D223">
        <v>0</v>
      </c>
      <c r="E223">
        <v>1</v>
      </c>
      <c r="F223" t="s">
        <v>452</v>
      </c>
      <c r="G223" s="21">
        <v>3076</v>
      </c>
      <c r="H223" s="21">
        <v>3076</v>
      </c>
      <c r="I223" s="21">
        <v>3076</v>
      </c>
      <c r="K223">
        <v>13</v>
      </c>
      <c r="L223" t="s">
        <v>108</v>
      </c>
      <c r="M223" s="19" t="s">
        <v>365</v>
      </c>
      <c r="N223">
        <v>67</v>
      </c>
      <c r="O223" s="41">
        <f>575+595</f>
        <v>1170</v>
      </c>
      <c r="P223" s="41">
        <f>575+595</f>
        <v>1170</v>
      </c>
      <c r="Q223" s="41">
        <f>575+595</f>
        <v>1170</v>
      </c>
      <c r="R223" s="41" t="s">
        <v>1177</v>
      </c>
      <c r="S223" t="s">
        <v>918</v>
      </c>
      <c r="V223">
        <v>87</v>
      </c>
      <c r="W223">
        <v>63</v>
      </c>
      <c r="Y223">
        <v>0.50680723222413215</v>
      </c>
      <c r="Z223">
        <v>0.51046926068543541</v>
      </c>
      <c r="AB223">
        <f>H223/[1]Sheet1!$H$97</f>
        <v>1.5411451266425689</v>
      </c>
      <c r="AD223" t="e">
        <f t="shared" si="12"/>
        <v>#VALUE!</v>
      </c>
      <c r="AG223">
        <f t="shared" si="13"/>
        <v>6.63610038891066</v>
      </c>
    </row>
    <row r="224" spans="1:33" x14ac:dyDescent="0.25">
      <c r="A224" s="25" t="s">
        <v>453</v>
      </c>
      <c r="D224">
        <v>0</v>
      </c>
      <c r="E224">
        <v>1</v>
      </c>
      <c r="G224" s="21">
        <v>5557</v>
      </c>
      <c r="H224" s="21">
        <v>5557</v>
      </c>
      <c r="I224" s="21">
        <v>5557</v>
      </c>
      <c r="K224">
        <v>44</v>
      </c>
      <c r="L224" t="s">
        <v>108</v>
      </c>
      <c r="M224" s="19" t="s">
        <v>365</v>
      </c>
      <c r="N224">
        <v>41</v>
      </c>
      <c r="O224">
        <v>1385</v>
      </c>
      <c r="P224">
        <v>1385</v>
      </c>
      <c r="Q224">
        <v>1385</v>
      </c>
      <c r="R224">
        <v>1385</v>
      </c>
      <c r="S224" t="s">
        <v>919</v>
      </c>
      <c r="V224">
        <v>94</v>
      </c>
      <c r="W224">
        <v>85</v>
      </c>
      <c r="Y224">
        <v>0.91558120593936998</v>
      </c>
      <c r="Z224">
        <v>0.9221969056010938</v>
      </c>
      <c r="AB224">
        <f>H224/[1]Sheet1!$H$97</f>
        <v>2.7841818819092183</v>
      </c>
      <c r="AD224" t="e">
        <f t="shared" si="12"/>
        <v>#VALUE!</v>
      </c>
      <c r="AG224">
        <f t="shared" si="13"/>
        <v>40.576663846448128</v>
      </c>
    </row>
    <row r="225" spans="1:33" x14ac:dyDescent="0.25">
      <c r="A225" s="25" t="s">
        <v>454</v>
      </c>
      <c r="D225">
        <v>1</v>
      </c>
      <c r="E225">
        <v>1</v>
      </c>
      <c r="G225" s="21">
        <v>1752</v>
      </c>
      <c r="H225" s="21">
        <v>1752</v>
      </c>
      <c r="I225" s="21">
        <v>1752</v>
      </c>
      <c r="K225">
        <v>50</v>
      </c>
      <c r="L225" t="s">
        <v>108</v>
      </c>
      <c r="M225" s="19" t="s">
        <v>365</v>
      </c>
      <c r="N225">
        <v>73</v>
      </c>
      <c r="O225" s="41">
        <f>535+530</f>
        <v>1065</v>
      </c>
      <c r="P225" s="41">
        <f>535+530</f>
        <v>1065</v>
      </c>
      <c r="Q225" s="41">
        <f>535+530</f>
        <v>1065</v>
      </c>
      <c r="R225" s="41" t="s">
        <v>1178</v>
      </c>
      <c r="S225" t="s">
        <v>973</v>
      </c>
      <c r="V225">
        <v>86</v>
      </c>
      <c r="W225">
        <v>61</v>
      </c>
      <c r="Y225">
        <v>0.28866263681946663</v>
      </c>
      <c r="Z225">
        <v>0.29074842156075514</v>
      </c>
      <c r="AB225">
        <f>H225/[1]Sheet1!$H$97</f>
        <v>0.87779137252203532</v>
      </c>
      <c r="AD225" t="e">
        <f t="shared" si="12"/>
        <v>#VALUE!</v>
      </c>
      <c r="AG225">
        <f t="shared" si="13"/>
        <v>14.537421078037758</v>
      </c>
    </row>
    <row r="226" spans="1:33" x14ac:dyDescent="0.25">
      <c r="A226" s="25" t="s">
        <v>455</v>
      </c>
      <c r="D226">
        <v>0</v>
      </c>
      <c r="E226">
        <v>1</v>
      </c>
      <c r="G226" s="21">
        <v>15006</v>
      </c>
      <c r="H226" s="21">
        <v>15006</v>
      </c>
      <c r="I226" s="21">
        <v>15006</v>
      </c>
      <c r="K226">
        <v>44</v>
      </c>
      <c r="L226" t="s">
        <v>108</v>
      </c>
      <c r="M226" s="19" t="s">
        <v>365</v>
      </c>
      <c r="N226">
        <v>60</v>
      </c>
      <c r="O226">
        <v>1200</v>
      </c>
      <c r="P226">
        <v>1200</v>
      </c>
      <c r="Q226">
        <v>1200</v>
      </c>
      <c r="R226">
        <v>1200</v>
      </c>
      <c r="S226" t="s">
        <v>920</v>
      </c>
      <c r="V226">
        <v>87</v>
      </c>
      <c r="W226">
        <v>64</v>
      </c>
      <c r="Y226">
        <v>2.4724152557722126</v>
      </c>
      <c r="Z226">
        <v>2.4902801449433172</v>
      </c>
      <c r="AB226">
        <f>H226/[1]Sheet1!$H$97</f>
        <v>7.5183432283479803</v>
      </c>
      <c r="AD226" t="e">
        <f t="shared" si="12"/>
        <v>#VALUE!</v>
      </c>
      <c r="AG226">
        <f t="shared" si="13"/>
        <v>109.57232637750596</v>
      </c>
    </row>
    <row r="227" spans="1:33" x14ac:dyDescent="0.25">
      <c r="A227" s="25" t="s">
        <v>456</v>
      </c>
      <c r="E227">
        <v>1</v>
      </c>
      <c r="M227" s="19" t="s">
        <v>365</v>
      </c>
      <c r="Y227">
        <v>0</v>
      </c>
      <c r="Z227">
        <v>0</v>
      </c>
      <c r="AB227">
        <f>H227/[1]Sheet1!$H$97</f>
        <v>0</v>
      </c>
      <c r="AD227" t="e">
        <f t="shared" si="12"/>
        <v>#VALUE!</v>
      </c>
      <c r="AG227">
        <f t="shared" si="13"/>
        <v>0</v>
      </c>
    </row>
    <row r="228" spans="1:33" x14ac:dyDescent="0.25">
      <c r="A228" s="25" t="s">
        <v>457</v>
      </c>
      <c r="D228">
        <v>0</v>
      </c>
      <c r="E228">
        <v>1</v>
      </c>
      <c r="F228">
        <v>20</v>
      </c>
      <c r="G228" s="21">
        <v>1437</v>
      </c>
      <c r="H228" s="21">
        <v>1437</v>
      </c>
      <c r="I228" s="21">
        <v>1437</v>
      </c>
      <c r="K228">
        <v>25</v>
      </c>
      <c r="L228" t="s">
        <v>108</v>
      </c>
      <c r="M228" s="19" t="s">
        <v>365</v>
      </c>
      <c r="N228">
        <v>77</v>
      </c>
      <c r="O228">
        <v>1270</v>
      </c>
      <c r="P228">
        <v>1270</v>
      </c>
      <c r="Q228">
        <v>1270</v>
      </c>
      <c r="R228">
        <v>1270</v>
      </c>
      <c r="S228" t="s">
        <v>921</v>
      </c>
      <c r="V228">
        <v>83</v>
      </c>
      <c r="W228">
        <v>69</v>
      </c>
      <c r="Y228">
        <v>0.23676267643240501</v>
      </c>
      <c r="Z228">
        <v>0.23847344850616731</v>
      </c>
      <c r="AB228">
        <f>H228/[1]Sheet1!$H$97</f>
        <v>0.71996929355831318</v>
      </c>
      <c r="AD228" t="e">
        <f t="shared" si="12"/>
        <v>#VALUE!</v>
      </c>
      <c r="AG228">
        <f t="shared" si="13"/>
        <v>5.9618362126541831</v>
      </c>
    </row>
    <row r="229" spans="1:33" x14ac:dyDescent="0.25">
      <c r="A229" s="25" t="s">
        <v>458</v>
      </c>
      <c r="D229">
        <v>1</v>
      </c>
      <c r="E229">
        <v>1</v>
      </c>
      <c r="G229" s="21">
        <v>3214</v>
      </c>
      <c r="H229" s="21">
        <v>3214</v>
      </c>
      <c r="I229" s="21">
        <v>3214</v>
      </c>
      <c r="K229">
        <v>40</v>
      </c>
      <c r="L229" t="s">
        <v>29</v>
      </c>
      <c r="M229" s="19" t="s">
        <v>365</v>
      </c>
      <c r="N229">
        <v>58</v>
      </c>
      <c r="O229">
        <v>1160</v>
      </c>
      <c r="P229">
        <v>1160</v>
      </c>
      <c r="Q229">
        <v>1160</v>
      </c>
      <c r="R229">
        <v>1160</v>
      </c>
      <c r="S229" t="s">
        <v>922</v>
      </c>
      <c r="V229">
        <v>86</v>
      </c>
      <c r="W229">
        <v>80</v>
      </c>
      <c r="Y229">
        <v>0.52954435772703534</v>
      </c>
      <c r="Z229">
        <v>0.53337067745220723</v>
      </c>
      <c r="AB229">
        <f>H229/[1]Sheet1!$H$97</f>
        <v>1.6102862279028662</v>
      </c>
      <c r="AD229" t="e">
        <f t="shared" si="12"/>
        <v>#VALUE!</v>
      </c>
      <c r="AG229">
        <f t="shared" si="13"/>
        <v>21.33482709808829</v>
      </c>
    </row>
    <row r="230" spans="1:33" x14ac:dyDescent="0.25">
      <c r="A230" s="25" t="s">
        <v>459</v>
      </c>
      <c r="D230">
        <v>0</v>
      </c>
      <c r="E230">
        <v>1</v>
      </c>
      <c r="G230" s="21">
        <v>2632</v>
      </c>
      <c r="H230" s="21">
        <v>2632</v>
      </c>
      <c r="I230" s="21">
        <v>2632</v>
      </c>
      <c r="K230">
        <v>30</v>
      </c>
      <c r="L230" t="s">
        <v>108</v>
      </c>
      <c r="M230" s="19" t="s">
        <v>365</v>
      </c>
      <c r="N230">
        <v>35</v>
      </c>
      <c r="O230">
        <v>1310</v>
      </c>
      <c r="P230">
        <v>1310</v>
      </c>
      <c r="Q230">
        <v>1310</v>
      </c>
      <c r="R230">
        <v>1310</v>
      </c>
      <c r="S230" t="s">
        <v>923</v>
      </c>
      <c r="V230">
        <v>93</v>
      </c>
      <c r="W230">
        <v>86</v>
      </c>
      <c r="Y230">
        <v>0.43365300234522619</v>
      </c>
      <c r="Z230">
        <v>0.43678644152277829</v>
      </c>
      <c r="AB230">
        <f>H230/[1]Sheet1!$H$97</f>
        <v>1.3186911486746558</v>
      </c>
      <c r="AD230" t="e">
        <f t="shared" si="12"/>
        <v>#VALUE!</v>
      </c>
      <c r="AG230">
        <f t="shared" si="13"/>
        <v>13.103593245683349</v>
      </c>
    </row>
    <row r="231" spans="1:33" x14ac:dyDescent="0.25">
      <c r="A231" s="25" t="s">
        <v>460</v>
      </c>
      <c r="D231">
        <v>1</v>
      </c>
      <c r="E231">
        <v>1</v>
      </c>
      <c r="G231" s="21">
        <v>1900</v>
      </c>
      <c r="H231" s="21">
        <v>1900</v>
      </c>
      <c r="I231" s="21">
        <v>1900</v>
      </c>
      <c r="K231">
        <v>47</v>
      </c>
      <c r="L231" t="s">
        <v>108</v>
      </c>
      <c r="M231" s="19" t="s">
        <v>365</v>
      </c>
      <c r="N231">
        <v>80</v>
      </c>
      <c r="O231">
        <v>1067</v>
      </c>
      <c r="P231">
        <v>1067</v>
      </c>
      <c r="Q231">
        <v>1067</v>
      </c>
      <c r="R231">
        <v>1067</v>
      </c>
      <c r="S231" t="s">
        <v>924</v>
      </c>
      <c r="V231">
        <v>81</v>
      </c>
      <c r="W231">
        <v>67</v>
      </c>
      <c r="Y231">
        <v>0.31304738011243533</v>
      </c>
      <c r="Z231">
        <v>0.31530936128164083</v>
      </c>
      <c r="AB231">
        <f>H231/[1]Sheet1!$H$97</f>
        <v>0.95194269851133961</v>
      </c>
      <c r="AD231" t="e">
        <f t="shared" si="12"/>
        <v>#VALUE!</v>
      </c>
      <c r="AG231">
        <f t="shared" si="13"/>
        <v>14.819539980237119</v>
      </c>
    </row>
    <row r="232" spans="1:33" x14ac:dyDescent="0.25">
      <c r="A232" s="25" t="s">
        <v>461</v>
      </c>
      <c r="D232">
        <v>1</v>
      </c>
      <c r="E232">
        <v>1</v>
      </c>
      <c r="G232" s="21">
        <v>2819</v>
      </c>
      <c r="H232" s="21" t="s">
        <v>28</v>
      </c>
      <c r="I232" s="21">
        <v>2819</v>
      </c>
      <c r="K232">
        <v>44</v>
      </c>
      <c r="L232" t="s">
        <v>29</v>
      </c>
      <c r="M232" s="19" t="s">
        <v>365</v>
      </c>
      <c r="N232">
        <v>64</v>
      </c>
      <c r="O232">
        <f>1593-12.418*N232+0.065*N232*N232</f>
        <v>1064.4880000000001</v>
      </c>
      <c r="P232">
        <f>1451-5.739*N232</f>
        <v>1083.704</v>
      </c>
      <c r="U232">
        <v>-1</v>
      </c>
      <c r="W232">
        <v>52</v>
      </c>
      <c r="Y232" t="s">
        <v>28</v>
      </c>
      <c r="Z232">
        <v>0.46781952076470817</v>
      </c>
      <c r="AB232" t="e">
        <f>H232/[1]Sheet1!$H$97</f>
        <v>#VALUE!</v>
      </c>
      <c r="AD232" t="e">
        <f t="shared" si="12"/>
        <v>#VALUE!</v>
      </c>
      <c r="AG232">
        <f t="shared" si="13"/>
        <v>20.584058913647159</v>
      </c>
    </row>
    <row r="233" spans="1:33" x14ac:dyDescent="0.25">
      <c r="A233" s="25" t="s">
        <v>462</v>
      </c>
      <c r="D233">
        <v>1</v>
      </c>
      <c r="E233">
        <v>1</v>
      </c>
      <c r="G233" s="21">
        <v>2764</v>
      </c>
      <c r="H233" s="21">
        <v>2764</v>
      </c>
      <c r="I233" s="21">
        <v>2764</v>
      </c>
      <c r="K233">
        <v>41</v>
      </c>
      <c r="L233" t="s">
        <v>108</v>
      </c>
      <c r="M233" s="19" t="s">
        <v>365</v>
      </c>
      <c r="N233">
        <v>63</v>
      </c>
      <c r="O233" s="41">
        <f>530+555</f>
        <v>1085</v>
      </c>
      <c r="P233" s="41">
        <f>530+555</f>
        <v>1085</v>
      </c>
      <c r="Q233" s="41">
        <f>530+555</f>
        <v>1085</v>
      </c>
      <c r="R233" s="41" t="s">
        <v>1179</v>
      </c>
      <c r="S233" t="s">
        <v>925</v>
      </c>
      <c r="V233">
        <v>83</v>
      </c>
      <c r="W233">
        <v>73</v>
      </c>
      <c r="Y233">
        <v>0.45540155717409009</v>
      </c>
      <c r="Z233">
        <v>0.45869214451708173</v>
      </c>
      <c r="AB233">
        <f>H233/[1]Sheet1!$H$97</f>
        <v>1.3848261150975489</v>
      </c>
      <c r="AD233" t="e">
        <f t="shared" si="12"/>
        <v>#VALUE!</v>
      </c>
      <c r="AG233">
        <f t="shared" si="13"/>
        <v>18.806377925200351</v>
      </c>
    </row>
    <row r="234" spans="1:33" x14ac:dyDescent="0.25">
      <c r="A234" s="25" t="s">
        <v>463</v>
      </c>
      <c r="D234">
        <v>1</v>
      </c>
      <c r="E234">
        <v>1</v>
      </c>
      <c r="G234" s="21">
        <v>15720</v>
      </c>
      <c r="H234" s="21">
        <v>15720</v>
      </c>
      <c r="I234" s="21">
        <v>15720</v>
      </c>
      <c r="K234">
        <v>50</v>
      </c>
      <c r="L234" t="s">
        <v>464</v>
      </c>
      <c r="M234" s="19" t="s">
        <v>365</v>
      </c>
      <c r="N234">
        <v>53</v>
      </c>
      <c r="O234">
        <v>1081</v>
      </c>
      <c r="P234">
        <v>1081</v>
      </c>
      <c r="Q234">
        <v>1081</v>
      </c>
      <c r="R234">
        <v>1081</v>
      </c>
      <c r="S234" t="s">
        <v>926</v>
      </c>
      <c r="V234">
        <v>80</v>
      </c>
      <c r="W234">
        <v>56</v>
      </c>
      <c r="Y234">
        <v>2.5900551659828857</v>
      </c>
      <c r="Z234">
        <v>2.6087700838670496</v>
      </c>
      <c r="AB234">
        <f>H234/[1]Sheet1!$H$97</f>
        <v>7.8760732739990837</v>
      </c>
      <c r="AD234" t="e">
        <f t="shared" si="12"/>
        <v>#VALUE!</v>
      </c>
      <c r="AG234">
        <f t="shared" si="13"/>
        <v>130.43850419335249</v>
      </c>
    </row>
    <row r="235" spans="1:33" x14ac:dyDescent="0.25">
      <c r="A235" s="25" t="s">
        <v>465</v>
      </c>
      <c r="D235">
        <v>1</v>
      </c>
      <c r="E235">
        <v>1</v>
      </c>
      <c r="G235" s="21">
        <v>5037</v>
      </c>
      <c r="H235" s="21">
        <v>5037</v>
      </c>
      <c r="I235" s="21">
        <v>5037</v>
      </c>
      <c r="K235">
        <v>27</v>
      </c>
      <c r="L235" t="s">
        <v>108</v>
      </c>
      <c r="M235" s="19" t="s">
        <v>365</v>
      </c>
      <c r="N235">
        <v>75</v>
      </c>
      <c r="O235" s="41">
        <f>600+605</f>
        <v>1205</v>
      </c>
      <c r="P235" s="41">
        <f>600+605</f>
        <v>1205</v>
      </c>
      <c r="Q235" s="41">
        <f>600+605</f>
        <v>1205</v>
      </c>
      <c r="R235" s="41" t="s">
        <v>1180</v>
      </c>
      <c r="S235" t="s">
        <v>927</v>
      </c>
      <c r="V235">
        <v>84</v>
      </c>
      <c r="W235">
        <v>72</v>
      </c>
      <c r="Y235">
        <v>0.82990508085596659</v>
      </c>
      <c r="Z235">
        <v>0.835901711987171</v>
      </c>
      <c r="AB235">
        <f>H235/[1]Sheet1!$H$97</f>
        <v>2.5236501960008515</v>
      </c>
      <c r="AD235" t="e">
        <f t="shared" si="12"/>
        <v>#VALUE!</v>
      </c>
      <c r="AG235">
        <f t="shared" si="13"/>
        <v>22.569346223653618</v>
      </c>
    </row>
    <row r="236" spans="1:33" x14ac:dyDescent="0.25">
      <c r="A236" s="25" t="s">
        <v>466</v>
      </c>
      <c r="D236">
        <v>1</v>
      </c>
      <c r="E236">
        <v>1</v>
      </c>
      <c r="G236" s="21">
        <v>2398</v>
      </c>
      <c r="H236" s="21">
        <v>2398</v>
      </c>
      <c r="I236" s="21">
        <v>2398</v>
      </c>
      <c r="K236">
        <v>27</v>
      </c>
      <c r="L236" t="s">
        <v>108</v>
      </c>
      <c r="M236" s="19" t="s">
        <v>365</v>
      </c>
      <c r="N236">
        <v>46</v>
      </c>
      <c r="O236">
        <v>1050</v>
      </c>
      <c r="P236">
        <v>1050</v>
      </c>
      <c r="Q236">
        <v>1050</v>
      </c>
      <c r="R236">
        <v>1050</v>
      </c>
      <c r="S236" t="s">
        <v>928</v>
      </c>
      <c r="V236">
        <v>90</v>
      </c>
      <c r="W236">
        <v>80</v>
      </c>
      <c r="Y236">
        <v>0.39509874605769468</v>
      </c>
      <c r="Z236">
        <v>0.39795360439651306</v>
      </c>
      <c r="AB236">
        <f>H236/[1]Sheet1!$H$97</f>
        <v>1.2014518900158908</v>
      </c>
      <c r="AD236" t="e">
        <f t="shared" si="12"/>
        <v>#VALUE!</v>
      </c>
      <c r="AG236">
        <f t="shared" si="13"/>
        <v>10.744747318705853</v>
      </c>
    </row>
    <row r="237" spans="1:33" x14ac:dyDescent="0.25">
      <c r="A237" s="25" t="s">
        <v>467</v>
      </c>
      <c r="D237">
        <v>1</v>
      </c>
      <c r="E237">
        <v>1</v>
      </c>
      <c r="G237" s="21">
        <v>2400</v>
      </c>
      <c r="H237" s="21">
        <v>2400</v>
      </c>
      <c r="I237" s="21">
        <v>2400</v>
      </c>
      <c r="K237">
        <v>5</v>
      </c>
      <c r="L237" t="s">
        <v>29</v>
      </c>
      <c r="M237" s="19" t="s">
        <v>365</v>
      </c>
      <c r="N237">
        <v>82</v>
      </c>
      <c r="O237" s="41">
        <v>1290</v>
      </c>
      <c r="P237" s="41">
        <v>1290</v>
      </c>
      <c r="Q237" s="41">
        <v>1290</v>
      </c>
      <c r="R237" s="41">
        <v>1290</v>
      </c>
      <c r="S237" t="s">
        <v>929</v>
      </c>
      <c r="V237">
        <v>74</v>
      </c>
      <c r="W237">
        <v>53</v>
      </c>
      <c r="Y237">
        <v>0.39542826961570776</v>
      </c>
      <c r="Z237">
        <v>0.39828550898733583</v>
      </c>
      <c r="AB237">
        <f>H237/[1]Sheet1!$H$97</f>
        <v>1.2024539349616923</v>
      </c>
      <c r="AD237" t="e">
        <f t="shared" si="12"/>
        <v>#VALUE!</v>
      </c>
      <c r="AG237">
        <f t="shared" si="13"/>
        <v>1.9914275449366792</v>
      </c>
    </row>
    <row r="238" spans="1:33" x14ac:dyDescent="0.25">
      <c r="A238" s="25" t="s">
        <v>468</v>
      </c>
      <c r="D238">
        <v>0</v>
      </c>
      <c r="E238">
        <v>1</v>
      </c>
      <c r="G238" s="21">
        <v>15097</v>
      </c>
      <c r="H238" s="21">
        <v>15097</v>
      </c>
      <c r="I238" s="21">
        <v>15097</v>
      </c>
      <c r="K238">
        <v>23</v>
      </c>
      <c r="L238" t="s">
        <v>464</v>
      </c>
      <c r="M238" s="19" t="s">
        <v>365</v>
      </c>
      <c r="N238">
        <v>49</v>
      </c>
      <c r="O238" s="41">
        <f>580+610</f>
        <v>1190</v>
      </c>
      <c r="P238" s="41">
        <f>580+610</f>
        <v>1190</v>
      </c>
      <c r="Q238" s="41">
        <f>580+610</f>
        <v>1190</v>
      </c>
      <c r="R238" s="41" t="s">
        <v>1181</v>
      </c>
      <c r="S238" t="s">
        <v>974</v>
      </c>
      <c r="V238">
        <v>92</v>
      </c>
      <c r="W238">
        <v>81</v>
      </c>
      <c r="Y238">
        <v>2.4874085776618085</v>
      </c>
      <c r="Z238">
        <v>2.5053818038257538</v>
      </c>
      <c r="AB238">
        <f>H238/[1]Sheet1!$H$97</f>
        <v>7.5639362733819446</v>
      </c>
      <c r="AD238" t="e">
        <f t="shared" si="12"/>
        <v>#VALUE!</v>
      </c>
      <c r="AG238">
        <f t="shared" si="13"/>
        <v>57.623781487992339</v>
      </c>
    </row>
    <row r="239" spans="1:33" x14ac:dyDescent="0.25">
      <c r="A239" s="25" t="s">
        <v>469</v>
      </c>
      <c r="D239">
        <v>0</v>
      </c>
      <c r="E239">
        <v>1</v>
      </c>
      <c r="G239" s="21">
        <v>700</v>
      </c>
      <c r="H239" s="21">
        <v>700</v>
      </c>
      <c r="I239" s="21">
        <v>700</v>
      </c>
      <c r="K239">
        <v>46</v>
      </c>
      <c r="L239" t="s">
        <v>108</v>
      </c>
      <c r="M239" s="19" t="s">
        <v>365</v>
      </c>
      <c r="N239">
        <v>57</v>
      </c>
      <c r="O239">
        <f>1593-12.418*N239+0.065*N239*N239</f>
        <v>1096.3590000000002</v>
      </c>
      <c r="P239">
        <f>1451-5.739*N239</f>
        <v>1123.877</v>
      </c>
      <c r="T239">
        <v>-1</v>
      </c>
      <c r="U239">
        <v>-1</v>
      </c>
      <c r="V239">
        <v>78</v>
      </c>
      <c r="W239">
        <v>58</v>
      </c>
      <c r="Y239">
        <v>0.11533324530458143</v>
      </c>
      <c r="Z239">
        <v>0.11616660678797294</v>
      </c>
      <c r="AB239">
        <f>H239/[1]Sheet1!$H$97</f>
        <v>0.35071573103049358</v>
      </c>
      <c r="AD239" t="e">
        <f t="shared" si="12"/>
        <v>#VALUE!</v>
      </c>
      <c r="AG239">
        <f t="shared" si="13"/>
        <v>5.3436639122467557</v>
      </c>
    </row>
    <row r="240" spans="1:33" x14ac:dyDescent="0.25">
      <c r="A240" s="25" t="s">
        <v>470</v>
      </c>
      <c r="D240">
        <v>0</v>
      </c>
      <c r="E240">
        <v>1</v>
      </c>
      <c r="G240" s="21">
        <v>5643</v>
      </c>
      <c r="H240" s="21">
        <v>5643</v>
      </c>
      <c r="I240" s="21">
        <v>5643</v>
      </c>
      <c r="K240">
        <v>24</v>
      </c>
      <c r="L240" t="s">
        <v>471</v>
      </c>
      <c r="M240" s="19" t="s">
        <v>365</v>
      </c>
      <c r="N240">
        <v>36</v>
      </c>
      <c r="O240">
        <f>1593-12.418*N240+0.065*N240*N240</f>
        <v>1230.192</v>
      </c>
      <c r="P240">
        <f>1451-5.739*N240</f>
        <v>1244.396</v>
      </c>
      <c r="T240">
        <v>-1</v>
      </c>
      <c r="U240">
        <v>-1</v>
      </c>
      <c r="V240">
        <v>96</v>
      </c>
      <c r="W240">
        <v>85</v>
      </c>
      <c r="Y240">
        <v>0.92975071893393291</v>
      </c>
      <c r="Z240">
        <v>0.93646880300647339</v>
      </c>
      <c r="AB240">
        <f>H240/[1]Sheet1!$H$97</f>
        <v>2.827269814578679</v>
      </c>
      <c r="AD240" t="e">
        <f t="shared" si="12"/>
        <v>#VALUE!</v>
      </c>
      <c r="AG240">
        <f t="shared" si="13"/>
        <v>22.475251272155361</v>
      </c>
    </row>
    <row r="241" spans="1:33" x14ac:dyDescent="0.25">
      <c r="A241" s="25" t="s">
        <v>472</v>
      </c>
      <c r="D241">
        <v>0</v>
      </c>
      <c r="E241">
        <v>1</v>
      </c>
      <c r="G241" s="21">
        <v>2194</v>
      </c>
      <c r="H241" s="21">
        <v>2194</v>
      </c>
      <c r="I241" s="21">
        <v>2194</v>
      </c>
      <c r="K241">
        <v>68</v>
      </c>
      <c r="L241" t="s">
        <v>29</v>
      </c>
      <c r="M241" s="19" t="s">
        <v>365</v>
      </c>
      <c r="N241">
        <v>37</v>
      </c>
      <c r="O241" s="41">
        <f>645+675</f>
        <v>1320</v>
      </c>
      <c r="P241" s="41">
        <f>645+675</f>
        <v>1320</v>
      </c>
      <c r="Q241" s="41">
        <f>645+675</f>
        <v>1320</v>
      </c>
      <c r="R241" s="41" t="s">
        <v>1182</v>
      </c>
      <c r="S241" t="s">
        <v>930</v>
      </c>
      <c r="V241">
        <v>92</v>
      </c>
      <c r="W241">
        <v>88</v>
      </c>
      <c r="Y241">
        <v>0.36148734314035952</v>
      </c>
      <c r="Z241">
        <v>0.36409933613258949</v>
      </c>
      <c r="AB241">
        <f>H241/[1]Sheet1!$H$97</f>
        <v>1.0992433055441471</v>
      </c>
      <c r="AD241" t="e">
        <f t="shared" si="12"/>
        <v>#VALUE!</v>
      </c>
      <c r="AG241">
        <f t="shared" si="13"/>
        <v>24.758754857016086</v>
      </c>
    </row>
    <row r="242" spans="1:33" x14ac:dyDescent="0.25">
      <c r="A242" s="25" t="s">
        <v>473</v>
      </c>
      <c r="D242">
        <v>0</v>
      </c>
      <c r="E242">
        <v>1</v>
      </c>
      <c r="G242" s="21">
        <v>2505</v>
      </c>
      <c r="H242" s="21">
        <v>2505</v>
      </c>
      <c r="I242" s="21">
        <v>2505</v>
      </c>
      <c r="K242">
        <v>48</v>
      </c>
      <c r="L242" t="s">
        <v>29</v>
      </c>
      <c r="M242" s="19" t="s">
        <v>365</v>
      </c>
      <c r="N242">
        <v>85</v>
      </c>
      <c r="O242">
        <f>1414*2/3</f>
        <v>942.66666666666663</v>
      </c>
      <c r="P242">
        <f>1414*2/3</f>
        <v>942.66666666666663</v>
      </c>
      <c r="Q242">
        <f>1414*2/3</f>
        <v>942.66666666666663</v>
      </c>
      <c r="R242" t="s">
        <v>931</v>
      </c>
      <c r="S242" t="s">
        <v>932</v>
      </c>
      <c r="V242">
        <v>72</v>
      </c>
      <c r="W242">
        <v>47</v>
      </c>
      <c r="Y242">
        <v>0.41272825641139499</v>
      </c>
      <c r="Z242">
        <v>0.41571050000553178</v>
      </c>
      <c r="AB242">
        <f>H242/[1]Sheet1!$H$97</f>
        <v>1.2550612946162663</v>
      </c>
      <c r="AD242" t="e">
        <f t="shared" si="12"/>
        <v>#VALUE!</v>
      </c>
      <c r="AG242">
        <f t="shared" si="13"/>
        <v>19.954104000265524</v>
      </c>
    </row>
    <row r="243" spans="1:33" x14ac:dyDescent="0.25">
      <c r="A243" s="25" t="s">
        <v>474</v>
      </c>
      <c r="D243">
        <v>0</v>
      </c>
      <c r="E243">
        <v>1</v>
      </c>
      <c r="G243" s="21">
        <v>2450</v>
      </c>
      <c r="H243" s="21">
        <v>2450</v>
      </c>
      <c r="I243" s="21">
        <v>2450</v>
      </c>
      <c r="K243">
        <v>28</v>
      </c>
      <c r="L243" t="s">
        <v>29</v>
      </c>
      <c r="M243" s="19" t="s">
        <v>365</v>
      </c>
      <c r="N243">
        <v>24</v>
      </c>
      <c r="O243" s="41">
        <f>710+700</f>
        <v>1410</v>
      </c>
      <c r="P243" s="41">
        <f>710+700</f>
        <v>1410</v>
      </c>
      <c r="Q243" s="41">
        <f>710+700</f>
        <v>1410</v>
      </c>
      <c r="R243" s="41" t="s">
        <v>1183</v>
      </c>
      <c r="S243" t="s">
        <v>933</v>
      </c>
      <c r="V243">
        <v>96</v>
      </c>
      <c r="W243">
        <v>94</v>
      </c>
      <c r="Y243">
        <v>0.403666358566035</v>
      </c>
      <c r="Z243">
        <v>0.40658312375790534</v>
      </c>
      <c r="AB243">
        <f>H243/[1]Sheet1!$H$97</f>
        <v>1.2275050586067275</v>
      </c>
      <c r="AD243" t="e">
        <f t="shared" si="12"/>
        <v>#VALUE!</v>
      </c>
      <c r="AG243">
        <f t="shared" si="13"/>
        <v>11.38432746522135</v>
      </c>
    </row>
    <row r="244" spans="1:33" x14ac:dyDescent="0.25">
      <c r="A244" s="25" t="s">
        <v>475</v>
      </c>
      <c r="D244">
        <v>0</v>
      </c>
      <c r="E244">
        <v>1</v>
      </c>
      <c r="G244" s="21">
        <v>1900</v>
      </c>
      <c r="H244" s="21">
        <v>1900</v>
      </c>
      <c r="I244" s="21">
        <v>1900</v>
      </c>
      <c r="K244">
        <v>18</v>
      </c>
      <c r="L244" t="s">
        <v>108</v>
      </c>
      <c r="M244" s="19" t="s">
        <v>365</v>
      </c>
      <c r="N244">
        <v>77</v>
      </c>
      <c r="O244">
        <v>1044</v>
      </c>
      <c r="P244">
        <v>1044</v>
      </c>
      <c r="Q244">
        <v>1044</v>
      </c>
      <c r="R244">
        <v>1044</v>
      </c>
      <c r="S244" t="s">
        <v>934</v>
      </c>
      <c r="V244">
        <v>77</v>
      </c>
      <c r="W244">
        <v>36</v>
      </c>
      <c r="Y244">
        <v>0.31304738011243533</v>
      </c>
      <c r="Z244">
        <v>0.31530936128164083</v>
      </c>
      <c r="AB244">
        <f>H244/[1]Sheet1!$H$97</f>
        <v>0.95194269851133961</v>
      </c>
      <c r="AD244" t="e">
        <f t="shared" si="12"/>
        <v>#VALUE!</v>
      </c>
      <c r="AG244">
        <f t="shared" si="13"/>
        <v>5.6755685030695346</v>
      </c>
    </row>
    <row r="245" spans="1:33" x14ac:dyDescent="0.25">
      <c r="A245" s="25" t="s">
        <v>476</v>
      </c>
      <c r="E245">
        <v>1</v>
      </c>
      <c r="G245" s="21"/>
      <c r="H245" s="21"/>
      <c r="I245" s="21"/>
      <c r="M245" s="19" t="s">
        <v>365</v>
      </c>
      <c r="V245">
        <v>59</v>
      </c>
      <c r="W245">
        <v>27</v>
      </c>
      <c r="Y245">
        <v>0</v>
      </c>
      <c r="Z245">
        <v>0</v>
      </c>
      <c r="AB245">
        <f>H245/[1]Sheet1!$H$97</f>
        <v>0</v>
      </c>
      <c r="AD245" t="e">
        <f t="shared" si="12"/>
        <v>#VALUE!</v>
      </c>
      <c r="AG245">
        <f t="shared" si="13"/>
        <v>0</v>
      </c>
    </row>
    <row r="246" spans="1:33" x14ac:dyDescent="0.25">
      <c r="A246" s="25" t="s">
        <v>477</v>
      </c>
      <c r="D246">
        <v>0</v>
      </c>
      <c r="E246">
        <v>1</v>
      </c>
      <c r="G246" s="21">
        <v>2000</v>
      </c>
      <c r="H246" s="21">
        <v>2000</v>
      </c>
      <c r="I246" s="21">
        <v>2000</v>
      </c>
      <c r="K246">
        <v>12</v>
      </c>
      <c r="L246" t="s">
        <v>29</v>
      </c>
      <c r="M246" s="19" t="s">
        <v>365</v>
      </c>
      <c r="N246">
        <v>70</v>
      </c>
      <c r="O246" s="41">
        <f>565+565</f>
        <v>1130</v>
      </c>
      <c r="P246" s="41">
        <f>565+565</f>
        <v>1130</v>
      </c>
      <c r="Q246" s="41">
        <f>565+565</f>
        <v>1130</v>
      </c>
      <c r="R246" s="41" t="s">
        <v>1185</v>
      </c>
      <c r="S246" t="s">
        <v>935</v>
      </c>
      <c r="V246">
        <v>88</v>
      </c>
      <c r="W246">
        <v>61</v>
      </c>
      <c r="Y246">
        <v>0.3295235580130898</v>
      </c>
      <c r="Z246">
        <v>0.33190459082277984</v>
      </c>
      <c r="AB246">
        <f>H246/[1]Sheet1!$H$97</f>
        <v>1.0020449458014102</v>
      </c>
      <c r="AD246" t="e">
        <f t="shared" si="12"/>
        <v>#VALUE!</v>
      </c>
      <c r="AG246">
        <f t="shared" si="13"/>
        <v>3.9828550898733583</v>
      </c>
    </row>
    <row r="247" spans="1:33" x14ac:dyDescent="0.25">
      <c r="A247" s="25" t="s">
        <v>478</v>
      </c>
      <c r="D247">
        <v>0</v>
      </c>
      <c r="E247">
        <v>1</v>
      </c>
      <c r="F247" t="s">
        <v>287</v>
      </c>
      <c r="G247" s="21" t="s">
        <v>28</v>
      </c>
      <c r="H247" s="21" t="s">
        <v>28</v>
      </c>
      <c r="I247" s="21" t="s">
        <v>28</v>
      </c>
      <c r="M247" s="19" t="s">
        <v>365</v>
      </c>
      <c r="N247">
        <v>60</v>
      </c>
      <c r="O247" s="41">
        <f>500+495</f>
        <v>995</v>
      </c>
      <c r="P247" s="41">
        <f>500+495</f>
        <v>995</v>
      </c>
      <c r="Q247" s="41">
        <f>500+495</f>
        <v>995</v>
      </c>
      <c r="R247" s="41" t="s">
        <v>1184</v>
      </c>
      <c r="S247" t="s">
        <v>936</v>
      </c>
      <c r="V247">
        <v>73</v>
      </c>
      <c r="W247">
        <v>58</v>
      </c>
      <c r="Y247" t="s">
        <v>28</v>
      </c>
      <c r="Z247" t="s">
        <v>28</v>
      </c>
      <c r="AB247" t="e">
        <f>H247/[1]Sheet1!$H$97</f>
        <v>#VALUE!</v>
      </c>
      <c r="AD247" t="e">
        <f t="shared" si="12"/>
        <v>#VALUE!</v>
      </c>
      <c r="AG247" t="s">
        <v>28</v>
      </c>
    </row>
    <row r="248" spans="1:33" x14ac:dyDescent="0.25">
      <c r="A248" s="25" t="s">
        <v>479</v>
      </c>
      <c r="D248">
        <v>1</v>
      </c>
      <c r="E248">
        <v>1</v>
      </c>
      <c r="G248" s="21">
        <v>3017</v>
      </c>
      <c r="H248" s="21">
        <v>3017</v>
      </c>
      <c r="I248" s="21">
        <v>3017</v>
      </c>
      <c r="K248">
        <v>4</v>
      </c>
      <c r="L248" t="s">
        <v>480</v>
      </c>
      <c r="M248" s="19" t="s">
        <v>365</v>
      </c>
      <c r="N248">
        <v>82</v>
      </c>
      <c r="O248" s="41">
        <f>630+620</f>
        <v>1250</v>
      </c>
      <c r="P248" s="41">
        <f>630+620</f>
        <v>1250</v>
      </c>
      <c r="Q248" s="41">
        <f>630+620</f>
        <v>1250</v>
      </c>
      <c r="R248" s="41" t="s">
        <v>1186</v>
      </c>
      <c r="S248" s="7" t="s">
        <v>937</v>
      </c>
      <c r="V248">
        <v>93</v>
      </c>
      <c r="W248">
        <v>85</v>
      </c>
      <c r="Y248">
        <v>0.49708628726274595</v>
      </c>
      <c r="Z248">
        <v>0.50067807525616337</v>
      </c>
      <c r="AB248">
        <f>H248/[1]Sheet1!$H$97</f>
        <v>1.5115848007414272</v>
      </c>
      <c r="AD248" t="e">
        <f t="shared" si="12"/>
        <v>#VALUE!</v>
      </c>
      <c r="AG248">
        <f t="shared" ref="AG248:AG273" si="14">K248*Z248</f>
        <v>2.0027123010246535</v>
      </c>
    </row>
    <row r="249" spans="1:33" x14ac:dyDescent="0.25">
      <c r="G249" s="21"/>
      <c r="H249" s="21"/>
      <c r="I249" s="21"/>
      <c r="M249" s="19" t="s">
        <v>365</v>
      </c>
      <c r="Y249">
        <v>0</v>
      </c>
      <c r="Z249">
        <v>0</v>
      </c>
      <c r="AB249">
        <f>H249/[1]Sheet1!$H$97</f>
        <v>0</v>
      </c>
      <c r="AD249" t="e">
        <f t="shared" si="12"/>
        <v>#VALUE!</v>
      </c>
      <c r="AG249">
        <f t="shared" si="14"/>
        <v>0</v>
      </c>
    </row>
    <row r="250" spans="1:33" x14ac:dyDescent="0.25">
      <c r="A250" s="20" t="s">
        <v>481</v>
      </c>
      <c r="G250" s="21"/>
      <c r="H250" s="21"/>
      <c r="I250" s="21"/>
      <c r="M250" s="19" t="s">
        <v>365</v>
      </c>
      <c r="Y250">
        <v>0</v>
      </c>
      <c r="Z250">
        <v>0</v>
      </c>
      <c r="AB250">
        <f>H250/[1]Sheet1!$H$97</f>
        <v>0</v>
      </c>
      <c r="AD250" t="e">
        <f t="shared" si="12"/>
        <v>#VALUE!</v>
      </c>
      <c r="AG250">
        <f t="shared" si="14"/>
        <v>0</v>
      </c>
    </row>
    <row r="251" spans="1:33" x14ac:dyDescent="0.25">
      <c r="A251" s="22" t="s">
        <v>482</v>
      </c>
      <c r="D251">
        <v>0</v>
      </c>
      <c r="E251">
        <v>0</v>
      </c>
      <c r="G251" s="21">
        <v>13013</v>
      </c>
      <c r="H251" s="21">
        <v>13013</v>
      </c>
      <c r="I251" s="21">
        <v>13013</v>
      </c>
      <c r="K251">
        <v>44</v>
      </c>
      <c r="L251" t="s">
        <v>29</v>
      </c>
      <c r="M251" s="19" t="s">
        <v>365</v>
      </c>
      <c r="N251">
        <v>42</v>
      </c>
      <c r="O251" s="41">
        <f>667+640</f>
        <v>1307</v>
      </c>
      <c r="P251" s="41">
        <f>667+640</f>
        <v>1307</v>
      </c>
      <c r="Q251" s="41">
        <f>667+640</f>
        <v>1307</v>
      </c>
      <c r="R251" s="41" t="s">
        <v>1187</v>
      </c>
      <c r="S251" t="s">
        <v>938</v>
      </c>
      <c r="V251">
        <v>91</v>
      </c>
      <c r="W251">
        <v>81</v>
      </c>
      <c r="Y251">
        <v>2.144045030212169</v>
      </c>
      <c r="Z251">
        <v>2.1595372201884171</v>
      </c>
      <c r="AB251">
        <f>H251/[1]Sheet1!$H$97</f>
        <v>6.5198054398568752</v>
      </c>
      <c r="AD251" t="e">
        <f t="shared" si="12"/>
        <v>#VALUE!</v>
      </c>
      <c r="AG251">
        <f t="shared" si="14"/>
        <v>95.019637688290345</v>
      </c>
    </row>
    <row r="252" spans="1:33" x14ac:dyDescent="0.25">
      <c r="A252" s="22" t="s">
        <v>380</v>
      </c>
      <c r="D252">
        <v>0</v>
      </c>
      <c r="E252">
        <v>0</v>
      </c>
      <c r="G252" s="21">
        <v>16480</v>
      </c>
      <c r="H252" s="21">
        <v>16480</v>
      </c>
      <c r="I252" s="21">
        <v>16480</v>
      </c>
      <c r="K252">
        <v>28</v>
      </c>
      <c r="L252" t="s">
        <v>192</v>
      </c>
      <c r="M252" s="19" t="s">
        <v>365</v>
      </c>
      <c r="N252">
        <v>39</v>
      </c>
      <c r="O252">
        <f>605+660</f>
        <v>1265</v>
      </c>
      <c r="P252">
        <f>605+660</f>
        <v>1265</v>
      </c>
      <c r="Q252">
        <f>605+660</f>
        <v>1265</v>
      </c>
      <c r="R252" t="s">
        <v>1188</v>
      </c>
      <c r="S252" t="s">
        <v>939</v>
      </c>
      <c r="V252">
        <v>90</v>
      </c>
      <c r="W252">
        <v>66</v>
      </c>
      <c r="Y252">
        <v>2.7152741180278599</v>
      </c>
      <c r="Z252">
        <v>2.7348938283797057</v>
      </c>
      <c r="AB252">
        <f>H252/[1]Sheet1!$H$97</f>
        <v>8.2568503534036193</v>
      </c>
      <c r="AD252" t="e">
        <f t="shared" si="12"/>
        <v>#VALUE!</v>
      </c>
      <c r="AG252">
        <f t="shared" si="14"/>
        <v>76.577027194631768</v>
      </c>
    </row>
    <row r="253" spans="1:33" x14ac:dyDescent="0.25">
      <c r="A253" s="22" t="s">
        <v>483</v>
      </c>
      <c r="D253">
        <v>0</v>
      </c>
      <c r="E253">
        <v>0</v>
      </c>
      <c r="G253" s="21">
        <v>12950</v>
      </c>
      <c r="H253" s="21">
        <v>12950</v>
      </c>
      <c r="I253" s="21">
        <v>12950</v>
      </c>
      <c r="K253">
        <v>33</v>
      </c>
      <c r="L253" t="s">
        <v>108</v>
      </c>
      <c r="M253" s="19" t="s">
        <v>365</v>
      </c>
      <c r="N253">
        <v>56</v>
      </c>
      <c r="O253" s="41">
        <f>535+550</f>
        <v>1085</v>
      </c>
      <c r="P253" s="41">
        <f>535+550</f>
        <v>1085</v>
      </c>
      <c r="Q253" s="41">
        <f>535+550</f>
        <v>1085</v>
      </c>
      <c r="R253" s="41" t="s">
        <v>1189</v>
      </c>
      <c r="S253" t="s">
        <v>940</v>
      </c>
      <c r="V253">
        <v>81</v>
      </c>
      <c r="W253">
        <v>66</v>
      </c>
      <c r="Y253">
        <v>2.1336650381347564</v>
      </c>
      <c r="Z253">
        <v>2.1490822255774997</v>
      </c>
      <c r="AB253">
        <f>H253/[1]Sheet1!$H$97</f>
        <v>6.4882410240641306</v>
      </c>
      <c r="AD253" t="e">
        <f t="shared" si="12"/>
        <v>#VALUE!</v>
      </c>
      <c r="AG253">
        <f t="shared" si="14"/>
        <v>70.919713444057493</v>
      </c>
    </row>
    <row r="254" spans="1:33" x14ac:dyDescent="0.25">
      <c r="A254" s="22" t="s">
        <v>484</v>
      </c>
      <c r="D254">
        <v>0</v>
      </c>
      <c r="E254">
        <v>0</v>
      </c>
      <c r="G254" s="21">
        <v>19831</v>
      </c>
      <c r="H254" s="21">
        <v>19831</v>
      </c>
      <c r="I254" s="21">
        <v>19831</v>
      </c>
      <c r="K254">
        <v>48</v>
      </c>
      <c r="L254" t="s">
        <v>464</v>
      </c>
      <c r="M254" s="19" t="s">
        <v>365</v>
      </c>
      <c r="N254">
        <v>57</v>
      </c>
      <c r="O254" s="41">
        <f>560+600</f>
        <v>1160</v>
      </c>
      <c r="P254" s="41">
        <f>560+600</f>
        <v>1160</v>
      </c>
      <c r="Q254" s="41">
        <f>560+600</f>
        <v>1160</v>
      </c>
      <c r="R254" s="41" t="s">
        <v>1190</v>
      </c>
      <c r="S254" t="s">
        <v>941</v>
      </c>
      <c r="V254">
        <v>88</v>
      </c>
      <c r="W254">
        <v>72</v>
      </c>
      <c r="Y254">
        <v>3.2673908394787921</v>
      </c>
      <c r="Z254">
        <v>3.2909999703032735</v>
      </c>
      <c r="AB254">
        <f>H254/[1]Sheet1!$H$97</f>
        <v>9.9357766600938824</v>
      </c>
      <c r="AD254" t="e">
        <f t="shared" si="12"/>
        <v>#VALUE!</v>
      </c>
      <c r="AG254">
        <f t="shared" si="14"/>
        <v>157.96799857455713</v>
      </c>
    </row>
    <row r="255" spans="1:33" x14ac:dyDescent="0.25">
      <c r="A255" s="25" t="s">
        <v>485</v>
      </c>
      <c r="D255">
        <v>0</v>
      </c>
      <c r="E255">
        <v>0</v>
      </c>
      <c r="G255" s="21"/>
      <c r="H255" s="21"/>
      <c r="I255" s="21"/>
      <c r="M255" s="19" t="s">
        <v>365</v>
      </c>
      <c r="Y255">
        <v>0</v>
      </c>
      <c r="Z255">
        <v>0</v>
      </c>
      <c r="AB255">
        <f>H255/[1]Sheet1!$H$97</f>
        <v>0</v>
      </c>
      <c r="AD255" t="e">
        <f t="shared" si="12"/>
        <v>#VALUE!</v>
      </c>
      <c r="AG255">
        <f t="shared" si="14"/>
        <v>0</v>
      </c>
    </row>
    <row r="256" spans="1:33" x14ac:dyDescent="0.25">
      <c r="A256" s="22" t="s">
        <v>486</v>
      </c>
      <c r="D256">
        <v>0</v>
      </c>
      <c r="E256">
        <v>0</v>
      </c>
      <c r="G256" s="21"/>
      <c r="H256" s="21"/>
      <c r="I256" s="21"/>
      <c r="M256" s="19" t="s">
        <v>365</v>
      </c>
      <c r="Y256">
        <v>0</v>
      </c>
      <c r="Z256">
        <v>0</v>
      </c>
      <c r="AB256">
        <f>H256/[1]Sheet1!$H$97</f>
        <v>0</v>
      </c>
      <c r="AD256" t="e">
        <f t="shared" si="12"/>
        <v>#VALUE!</v>
      </c>
      <c r="AG256">
        <f t="shared" si="14"/>
        <v>0</v>
      </c>
    </row>
    <row r="257" spans="1:33" x14ac:dyDescent="0.25">
      <c r="A257" s="28" t="s">
        <v>487</v>
      </c>
      <c r="D257">
        <v>0</v>
      </c>
      <c r="E257">
        <v>0</v>
      </c>
      <c r="G257" s="21"/>
      <c r="H257" s="21"/>
      <c r="I257" s="21"/>
      <c r="M257" s="19" t="s">
        <v>365</v>
      </c>
      <c r="Y257">
        <v>0</v>
      </c>
      <c r="Z257">
        <v>0</v>
      </c>
      <c r="AB257">
        <f>H257/[1]Sheet1!$H$97</f>
        <v>0</v>
      </c>
      <c r="AD257" t="e">
        <f t="shared" si="12"/>
        <v>#VALUE!</v>
      </c>
      <c r="AG257">
        <f t="shared" si="14"/>
        <v>0</v>
      </c>
    </row>
    <row r="258" spans="1:33" x14ac:dyDescent="0.25">
      <c r="A258" s="22" t="s">
        <v>488</v>
      </c>
      <c r="D258">
        <v>0</v>
      </c>
      <c r="E258">
        <v>0</v>
      </c>
      <c r="G258" s="21"/>
      <c r="H258" s="21"/>
      <c r="I258" s="21"/>
      <c r="M258" s="19" t="s">
        <v>365</v>
      </c>
      <c r="Y258">
        <v>0</v>
      </c>
      <c r="Z258">
        <v>0</v>
      </c>
      <c r="AB258">
        <f>H258/[1]Sheet1!$H$97</f>
        <v>0</v>
      </c>
      <c r="AD258" t="e">
        <f t="shared" si="12"/>
        <v>#VALUE!</v>
      </c>
      <c r="AG258">
        <f t="shared" si="14"/>
        <v>0</v>
      </c>
    </row>
    <row r="259" spans="1:33" x14ac:dyDescent="0.25">
      <c r="A259" s="28" t="s">
        <v>489</v>
      </c>
      <c r="D259">
        <v>0</v>
      </c>
      <c r="E259">
        <v>0</v>
      </c>
      <c r="G259" s="21"/>
      <c r="H259" s="21"/>
      <c r="I259" s="21"/>
      <c r="M259" s="19" t="s">
        <v>365</v>
      </c>
      <c r="Y259">
        <v>0</v>
      </c>
      <c r="Z259">
        <v>0</v>
      </c>
      <c r="AB259">
        <f>H259/[1]Sheet1!$H$97</f>
        <v>0</v>
      </c>
      <c r="AD259" t="e">
        <f t="shared" ref="AD259:AD310" si="15">AD258+Y259</f>
        <v>#VALUE!</v>
      </c>
      <c r="AG259">
        <f t="shared" si="14"/>
        <v>0</v>
      </c>
    </row>
    <row r="260" spans="1:33" x14ac:dyDescent="0.25">
      <c r="A260" s="28" t="s">
        <v>490</v>
      </c>
      <c r="D260">
        <v>0</v>
      </c>
      <c r="E260">
        <v>0</v>
      </c>
      <c r="G260" s="21"/>
      <c r="H260" s="21"/>
      <c r="I260" s="21"/>
      <c r="M260" s="19" t="s">
        <v>365</v>
      </c>
      <c r="Y260">
        <v>0</v>
      </c>
      <c r="Z260">
        <v>0</v>
      </c>
      <c r="AB260">
        <f>H260/[1]Sheet1!$H$97</f>
        <v>0</v>
      </c>
      <c r="AD260" t="e">
        <f t="shared" si="15"/>
        <v>#VALUE!</v>
      </c>
      <c r="AG260">
        <f t="shared" si="14"/>
        <v>0</v>
      </c>
    </row>
    <row r="261" spans="1:33" x14ac:dyDescent="0.25">
      <c r="A261" s="28" t="s">
        <v>491</v>
      </c>
      <c r="D261">
        <v>0</v>
      </c>
      <c r="E261">
        <v>0</v>
      </c>
      <c r="G261" s="21"/>
      <c r="H261" s="21"/>
      <c r="I261" s="21"/>
      <c r="M261" s="19" t="s">
        <v>365</v>
      </c>
      <c r="Y261">
        <v>0</v>
      </c>
      <c r="Z261">
        <v>0</v>
      </c>
      <c r="AB261">
        <f>H261/[1]Sheet1!$H$97</f>
        <v>0</v>
      </c>
      <c r="AD261" t="e">
        <f t="shared" si="15"/>
        <v>#VALUE!</v>
      </c>
      <c r="AG261">
        <f t="shared" si="14"/>
        <v>0</v>
      </c>
    </row>
    <row r="262" spans="1:33" x14ac:dyDescent="0.25">
      <c r="A262" s="28" t="s">
        <v>492</v>
      </c>
      <c r="D262">
        <v>0</v>
      </c>
      <c r="E262">
        <v>0</v>
      </c>
      <c r="G262" s="21"/>
      <c r="H262" s="21"/>
      <c r="I262" s="21"/>
      <c r="M262" s="19" t="s">
        <v>365</v>
      </c>
      <c r="Y262">
        <v>0</v>
      </c>
      <c r="Z262">
        <v>0</v>
      </c>
      <c r="AB262">
        <f>H262/[1]Sheet1!$H$97</f>
        <v>0</v>
      </c>
      <c r="AD262" t="e">
        <f t="shared" si="15"/>
        <v>#VALUE!</v>
      </c>
      <c r="AG262">
        <f t="shared" si="14"/>
        <v>0</v>
      </c>
    </row>
    <row r="263" spans="1:33" x14ac:dyDescent="0.25">
      <c r="A263" s="20" t="s">
        <v>493</v>
      </c>
      <c r="D263">
        <v>0</v>
      </c>
      <c r="E263">
        <v>0</v>
      </c>
      <c r="G263" s="21"/>
      <c r="H263" s="21"/>
      <c r="I263" s="21"/>
      <c r="M263" s="19" t="s">
        <v>365</v>
      </c>
      <c r="Y263">
        <v>0</v>
      </c>
      <c r="Z263">
        <v>0</v>
      </c>
      <c r="AB263">
        <f>H263/[1]Sheet1!$H$97</f>
        <v>0</v>
      </c>
      <c r="AD263" t="e">
        <f t="shared" si="15"/>
        <v>#VALUE!</v>
      </c>
      <c r="AG263">
        <f t="shared" si="14"/>
        <v>0</v>
      </c>
    </row>
    <row r="264" spans="1:33" x14ac:dyDescent="0.25">
      <c r="A264" s="22" t="s">
        <v>494</v>
      </c>
      <c r="D264">
        <v>0</v>
      </c>
      <c r="E264">
        <v>0</v>
      </c>
      <c r="G264" s="21"/>
      <c r="H264" s="21"/>
      <c r="I264" s="21"/>
      <c r="M264" s="19" t="s">
        <v>365</v>
      </c>
      <c r="N264">
        <v>55</v>
      </c>
      <c r="V264" t="s">
        <v>287</v>
      </c>
      <c r="Y264">
        <v>0</v>
      </c>
      <c r="Z264">
        <v>0</v>
      </c>
      <c r="AB264">
        <f>H264/[1]Sheet1!$H$97</f>
        <v>0</v>
      </c>
      <c r="AD264" t="e">
        <f t="shared" si="15"/>
        <v>#VALUE!</v>
      </c>
      <c r="AG264">
        <f t="shared" si="14"/>
        <v>0</v>
      </c>
    </row>
    <row r="265" spans="1:33" x14ac:dyDescent="0.25">
      <c r="A265" s="22" t="s">
        <v>495</v>
      </c>
      <c r="D265">
        <v>0</v>
      </c>
      <c r="E265">
        <v>0</v>
      </c>
      <c r="G265" s="21">
        <v>3800</v>
      </c>
      <c r="H265" s="21">
        <v>3800</v>
      </c>
      <c r="I265" s="21">
        <v>3800</v>
      </c>
      <c r="K265">
        <v>55</v>
      </c>
      <c r="L265" t="s">
        <v>464</v>
      </c>
      <c r="M265" s="19" t="s">
        <v>365</v>
      </c>
      <c r="N265">
        <v>78</v>
      </c>
      <c r="O265">
        <f>1593-12.418*N265+0.065*N265*N265</f>
        <v>1019.8560000000001</v>
      </c>
      <c r="P265">
        <f>1451-5.739*N265</f>
        <v>1003.3579999999999</v>
      </c>
      <c r="T265">
        <v>-1</v>
      </c>
      <c r="U265">
        <v>-1</v>
      </c>
      <c r="V265">
        <v>59</v>
      </c>
      <c r="W265">
        <v>32</v>
      </c>
      <c r="Y265">
        <v>0.62609476022487065</v>
      </c>
      <c r="Z265">
        <v>0.63061872256328166</v>
      </c>
      <c r="AB265">
        <f>H265/[1]Sheet1!$H$97</f>
        <v>1.9038853970226792</v>
      </c>
      <c r="AD265" t="e">
        <f t="shared" si="15"/>
        <v>#VALUE!</v>
      </c>
      <c r="AG265">
        <f t="shared" si="14"/>
        <v>34.684029740980492</v>
      </c>
    </row>
    <row r="266" spans="1:33" x14ac:dyDescent="0.25">
      <c r="A266" s="22" t="s">
        <v>496</v>
      </c>
      <c r="D266">
        <v>0</v>
      </c>
      <c r="E266">
        <v>0</v>
      </c>
      <c r="G266" s="21">
        <v>2500</v>
      </c>
      <c r="H266" s="21">
        <v>2500</v>
      </c>
      <c r="I266" s="21">
        <v>2500</v>
      </c>
      <c r="K266">
        <v>36</v>
      </c>
      <c r="L266" t="s">
        <v>108</v>
      </c>
      <c r="M266" s="19" t="s">
        <v>365</v>
      </c>
      <c r="N266">
        <v>73</v>
      </c>
      <c r="O266" s="41">
        <f>440+435</f>
        <v>875</v>
      </c>
      <c r="P266" s="41">
        <f>440+435</f>
        <v>875</v>
      </c>
      <c r="Q266" s="41">
        <f>440+435</f>
        <v>875</v>
      </c>
      <c r="R266" s="41" t="s">
        <v>1191</v>
      </c>
      <c r="S266" t="s">
        <v>942</v>
      </c>
      <c r="V266">
        <v>76</v>
      </c>
      <c r="W266">
        <v>45</v>
      </c>
      <c r="Y266">
        <v>0.41190444751636224</v>
      </c>
      <c r="Z266">
        <v>0.41488073852847479</v>
      </c>
      <c r="AB266">
        <f>H266/[1]Sheet1!$H$97</f>
        <v>1.2525561822517628</v>
      </c>
      <c r="AD266" t="e">
        <f t="shared" si="15"/>
        <v>#VALUE!</v>
      </c>
      <c r="AG266">
        <f t="shared" si="14"/>
        <v>14.935706587025093</v>
      </c>
    </row>
    <row r="267" spans="1:33" x14ac:dyDescent="0.25">
      <c r="A267" s="22">
        <v>68</v>
      </c>
      <c r="B267" t="s">
        <v>497</v>
      </c>
      <c r="D267">
        <v>0</v>
      </c>
      <c r="E267">
        <v>0</v>
      </c>
      <c r="G267" s="21">
        <v>3000</v>
      </c>
      <c r="H267" s="21">
        <v>3000</v>
      </c>
      <c r="I267" s="21">
        <v>3000</v>
      </c>
      <c r="K267">
        <v>36</v>
      </c>
      <c r="L267" t="s">
        <v>108</v>
      </c>
      <c r="M267" s="19" t="s">
        <v>365</v>
      </c>
      <c r="N267">
        <v>59</v>
      </c>
      <c r="O267">
        <f>1593-12.418*N267+0.065*N267*N267</f>
        <v>1086.6030000000001</v>
      </c>
      <c r="P267">
        <f>1451-5.739*N267</f>
        <v>1112.3989999999999</v>
      </c>
      <c r="T267">
        <v>-1</v>
      </c>
      <c r="U267">
        <v>-1</v>
      </c>
      <c r="V267">
        <v>64</v>
      </c>
      <c r="W267">
        <v>53</v>
      </c>
      <c r="Y267">
        <v>0.49428533701963467</v>
      </c>
      <c r="Z267">
        <v>0.49785688623416979</v>
      </c>
      <c r="AB267">
        <f>H267/[1]Sheet1!$H$97</f>
        <v>1.5030674187021154</v>
      </c>
      <c r="AD267" t="e">
        <f t="shared" si="15"/>
        <v>#VALUE!</v>
      </c>
      <c r="AG267">
        <f t="shared" si="14"/>
        <v>17.922847904430114</v>
      </c>
    </row>
    <row r="268" spans="1:33" x14ac:dyDescent="0.25">
      <c r="A268" s="22" t="s">
        <v>498</v>
      </c>
      <c r="D268">
        <v>0</v>
      </c>
      <c r="E268">
        <v>0</v>
      </c>
      <c r="G268" s="21"/>
      <c r="H268" s="21"/>
      <c r="I268" s="21"/>
      <c r="M268" s="19" t="s">
        <v>365</v>
      </c>
      <c r="V268">
        <v>82</v>
      </c>
      <c r="W268">
        <v>43</v>
      </c>
      <c r="Y268">
        <v>0</v>
      </c>
      <c r="Z268">
        <v>0</v>
      </c>
      <c r="AB268">
        <f>H268/[1]Sheet1!$H$97</f>
        <v>0</v>
      </c>
      <c r="AD268" t="e">
        <f t="shared" si="15"/>
        <v>#VALUE!</v>
      </c>
      <c r="AG268">
        <f t="shared" si="14"/>
        <v>0</v>
      </c>
    </row>
    <row r="269" spans="1:33" x14ac:dyDescent="0.25">
      <c r="A269" s="22" t="s">
        <v>499</v>
      </c>
      <c r="D269">
        <v>0</v>
      </c>
      <c r="E269">
        <v>0</v>
      </c>
      <c r="G269" s="21">
        <v>3366</v>
      </c>
      <c r="H269" s="21">
        <v>3366</v>
      </c>
      <c r="I269" s="21">
        <v>3366</v>
      </c>
      <c r="K269">
        <v>34</v>
      </c>
      <c r="L269" t="s">
        <v>108</v>
      </c>
      <c r="M269" s="19" t="s">
        <v>365</v>
      </c>
      <c r="N269">
        <v>59</v>
      </c>
      <c r="O269" s="41">
        <f>484+475</f>
        <v>959</v>
      </c>
      <c r="P269" s="41">
        <f>484+475</f>
        <v>959</v>
      </c>
      <c r="Q269" s="41">
        <f>484+475</f>
        <v>959</v>
      </c>
      <c r="R269" s="41" t="s">
        <v>1192</v>
      </c>
      <c r="S269" t="s">
        <v>943</v>
      </c>
      <c r="V269">
        <v>62</v>
      </c>
      <c r="W269">
        <v>43</v>
      </c>
      <c r="Y269">
        <v>0.55458814813603008</v>
      </c>
      <c r="Z269">
        <v>0.55859542635473847</v>
      </c>
      <c r="AB269">
        <f>H269/[1]Sheet1!$H$97</f>
        <v>1.6864416437837733</v>
      </c>
      <c r="AD269" t="e">
        <f t="shared" si="15"/>
        <v>#VALUE!</v>
      </c>
      <c r="AG269">
        <f t="shared" si="14"/>
        <v>18.992244496061108</v>
      </c>
    </row>
    <row r="270" spans="1:33" x14ac:dyDescent="0.25">
      <c r="A270" s="22" t="s">
        <v>500</v>
      </c>
      <c r="D270">
        <v>0</v>
      </c>
      <c r="E270">
        <v>0</v>
      </c>
      <c r="G270" s="21"/>
      <c r="H270" s="21"/>
      <c r="I270" s="21"/>
      <c r="M270" s="19" t="s">
        <v>365</v>
      </c>
      <c r="N270" s="5">
        <v>48</v>
      </c>
      <c r="V270" t="s">
        <v>287</v>
      </c>
      <c r="Y270">
        <v>0</v>
      </c>
      <c r="Z270">
        <v>0</v>
      </c>
      <c r="AB270">
        <f>H270/[1]Sheet1!$H$97</f>
        <v>0</v>
      </c>
      <c r="AD270" t="e">
        <f t="shared" si="15"/>
        <v>#VALUE!</v>
      </c>
      <c r="AG270">
        <f t="shared" si="14"/>
        <v>0</v>
      </c>
    </row>
    <row r="271" spans="1:33" x14ac:dyDescent="0.25">
      <c r="A271" s="22" t="s">
        <v>501</v>
      </c>
      <c r="D271">
        <v>0</v>
      </c>
      <c r="E271">
        <v>0</v>
      </c>
      <c r="G271" s="21"/>
      <c r="H271" s="21"/>
      <c r="I271" s="21"/>
      <c r="M271" s="19" t="s">
        <v>365</v>
      </c>
      <c r="N271">
        <v>64</v>
      </c>
      <c r="V271">
        <v>79</v>
      </c>
      <c r="W271">
        <v>50</v>
      </c>
      <c r="Y271">
        <v>0</v>
      </c>
      <c r="Z271">
        <v>0</v>
      </c>
      <c r="AB271">
        <f>H271/[1]Sheet1!$H$97</f>
        <v>0</v>
      </c>
      <c r="AD271" t="e">
        <f t="shared" si="15"/>
        <v>#VALUE!</v>
      </c>
      <c r="AG271">
        <f t="shared" si="14"/>
        <v>0</v>
      </c>
    </row>
    <row r="272" spans="1:33" x14ac:dyDescent="0.25">
      <c r="A272" s="20" t="s">
        <v>502</v>
      </c>
      <c r="D272">
        <v>0</v>
      </c>
      <c r="E272">
        <v>0</v>
      </c>
      <c r="G272" s="21"/>
      <c r="H272" s="21"/>
      <c r="I272" s="21"/>
      <c r="M272" s="19" t="s">
        <v>365</v>
      </c>
      <c r="Y272">
        <v>0</v>
      </c>
      <c r="Z272">
        <v>0</v>
      </c>
      <c r="AB272">
        <f>H272/[1]Sheet1!$H$97</f>
        <v>0</v>
      </c>
      <c r="AD272" t="e">
        <f t="shared" si="15"/>
        <v>#VALUE!</v>
      </c>
      <c r="AG272">
        <f t="shared" si="14"/>
        <v>0</v>
      </c>
    </row>
    <row r="273" spans="1:33" x14ac:dyDescent="0.25">
      <c r="A273" s="22" t="s">
        <v>503</v>
      </c>
      <c r="D273">
        <v>0</v>
      </c>
      <c r="E273">
        <v>0</v>
      </c>
      <c r="G273" s="21">
        <v>10665</v>
      </c>
      <c r="H273" s="21">
        <v>10665</v>
      </c>
      <c r="I273" s="21">
        <v>10665</v>
      </c>
      <c r="K273">
        <v>29</v>
      </c>
      <c r="L273" t="s">
        <v>108</v>
      </c>
      <c r="M273" s="19" t="s">
        <v>365</v>
      </c>
      <c r="N273">
        <v>49</v>
      </c>
      <c r="O273">
        <f>1593-12.418*N273+0.065*N273*N273</f>
        <v>1140.5830000000001</v>
      </c>
      <c r="P273">
        <f>1451-5.739*N273</f>
        <v>1169.789</v>
      </c>
      <c r="T273">
        <v>-1</v>
      </c>
      <c r="U273">
        <v>-1</v>
      </c>
      <c r="V273">
        <v>75</v>
      </c>
      <c r="W273">
        <v>49</v>
      </c>
      <c r="Y273">
        <v>1.7571843731048014</v>
      </c>
      <c r="Z273">
        <v>1.7698812305624736</v>
      </c>
      <c r="AB273">
        <f>H273/[1]Sheet1!$H$97</f>
        <v>5.3434046734860194</v>
      </c>
      <c r="AD273" t="e">
        <f t="shared" si="15"/>
        <v>#VALUE!</v>
      </c>
      <c r="AG273">
        <f t="shared" si="14"/>
        <v>51.326555686311735</v>
      </c>
    </row>
    <row r="274" spans="1:33" x14ac:dyDescent="0.25">
      <c r="A274" s="22" t="s">
        <v>504</v>
      </c>
      <c r="D274">
        <v>0</v>
      </c>
      <c r="E274">
        <v>0</v>
      </c>
      <c r="G274" s="21"/>
      <c r="H274" s="21"/>
      <c r="I274" s="21"/>
      <c r="K274" t="s">
        <v>505</v>
      </c>
      <c r="M274" s="19" t="s">
        <v>365</v>
      </c>
      <c r="N274" s="29">
        <v>82</v>
      </c>
      <c r="V274">
        <v>49</v>
      </c>
      <c r="W274">
        <v>24</v>
      </c>
      <c r="Y274">
        <v>0</v>
      </c>
      <c r="Z274">
        <v>0</v>
      </c>
      <c r="AB274">
        <f>H274/[1]Sheet1!$H$97</f>
        <v>0</v>
      </c>
      <c r="AD274" t="e">
        <f t="shared" si="15"/>
        <v>#VALUE!</v>
      </c>
      <c r="AG274" t="s">
        <v>28</v>
      </c>
    </row>
    <row r="275" spans="1:33" x14ac:dyDescent="0.25">
      <c r="A275" s="22" t="s">
        <v>506</v>
      </c>
      <c r="D275">
        <v>0</v>
      </c>
      <c r="E275">
        <v>0</v>
      </c>
      <c r="G275" s="21">
        <v>6354</v>
      </c>
      <c r="H275" s="21">
        <v>6354</v>
      </c>
      <c r="I275" s="21">
        <v>6354</v>
      </c>
      <c r="K275">
        <v>24</v>
      </c>
      <c r="L275" t="s">
        <v>108</v>
      </c>
      <c r="M275" s="19" t="s">
        <v>365</v>
      </c>
      <c r="N275">
        <v>48</v>
      </c>
      <c r="O275" s="41">
        <f>505+520</f>
        <v>1025</v>
      </c>
      <c r="P275" s="41">
        <f>505+520</f>
        <v>1025</v>
      </c>
      <c r="Q275" s="41">
        <f>505+520</f>
        <v>1025</v>
      </c>
      <c r="R275" s="41" t="s">
        <v>1193</v>
      </c>
      <c r="S275" t="s">
        <v>944</v>
      </c>
      <c r="V275">
        <v>81</v>
      </c>
      <c r="W275">
        <v>67</v>
      </c>
      <c r="Y275">
        <v>1.0468963438075862</v>
      </c>
      <c r="Z275">
        <v>1.0544608850439716</v>
      </c>
      <c r="AB275">
        <f>H275/[1]Sheet1!$H$97</f>
        <v>3.1834967928110802</v>
      </c>
      <c r="AD275" t="e">
        <f t="shared" si="15"/>
        <v>#VALUE!</v>
      </c>
      <c r="AG275">
        <f>K275*Z275</f>
        <v>25.307061241055319</v>
      </c>
    </row>
    <row r="276" spans="1:33" x14ac:dyDescent="0.25">
      <c r="A276" s="22" t="s">
        <v>507</v>
      </c>
      <c r="D276">
        <v>0</v>
      </c>
      <c r="E276">
        <v>0</v>
      </c>
      <c r="G276" s="21">
        <v>6400</v>
      </c>
      <c r="H276" s="21">
        <v>6400</v>
      </c>
      <c r="I276" s="21">
        <v>6400</v>
      </c>
      <c r="K276">
        <v>43</v>
      </c>
      <c r="L276" t="s">
        <v>464</v>
      </c>
      <c r="M276" s="19" t="s">
        <v>365</v>
      </c>
      <c r="N276">
        <v>47</v>
      </c>
      <c r="O276" s="41">
        <f>515+535</f>
        <v>1050</v>
      </c>
      <c r="P276" s="41">
        <f>515+535</f>
        <v>1050</v>
      </c>
      <c r="Q276" s="41">
        <f>515+535</f>
        <v>1050</v>
      </c>
      <c r="R276" s="41" t="s">
        <v>1194</v>
      </c>
      <c r="S276" t="s">
        <v>945</v>
      </c>
      <c r="V276">
        <v>83</v>
      </c>
      <c r="W276">
        <v>70</v>
      </c>
      <c r="Y276">
        <v>1.0544753856418874</v>
      </c>
      <c r="Z276">
        <v>1.0620946906328954</v>
      </c>
      <c r="AB276">
        <f>H276/[1]Sheet1!$H$97</f>
        <v>3.2065438265645128</v>
      </c>
      <c r="AD276" t="e">
        <f t="shared" si="15"/>
        <v>#VALUE!</v>
      </c>
      <c r="AG276">
        <f>K276*Z276</f>
        <v>45.670071697214503</v>
      </c>
    </row>
    <row r="277" spans="1:33" x14ac:dyDescent="0.25">
      <c r="A277" s="22" t="s">
        <v>508</v>
      </c>
      <c r="D277">
        <v>0</v>
      </c>
      <c r="E277">
        <v>0</v>
      </c>
      <c r="G277" s="21"/>
      <c r="H277" s="21"/>
      <c r="I277" s="21"/>
      <c r="M277" s="19" t="s">
        <v>365</v>
      </c>
      <c r="N277">
        <v>52</v>
      </c>
      <c r="V277">
        <v>78</v>
      </c>
      <c r="W277">
        <v>64</v>
      </c>
      <c r="Y277">
        <v>0</v>
      </c>
      <c r="Z277">
        <v>0</v>
      </c>
      <c r="AB277">
        <f>H277/[1]Sheet1!$H$97</f>
        <v>0</v>
      </c>
      <c r="AD277" t="e">
        <f t="shared" si="15"/>
        <v>#VALUE!</v>
      </c>
      <c r="AG277">
        <f>K277*Z277</f>
        <v>0</v>
      </c>
    </row>
    <row r="278" spans="1:33" x14ac:dyDescent="0.25">
      <c r="A278" s="22" t="s">
        <v>509</v>
      </c>
      <c r="D278">
        <v>0</v>
      </c>
      <c r="E278">
        <v>0</v>
      </c>
      <c r="G278" s="21"/>
      <c r="H278" s="21"/>
      <c r="I278" s="21"/>
      <c r="K278" t="s">
        <v>510</v>
      </c>
      <c r="M278" s="19" t="s">
        <v>365</v>
      </c>
      <c r="N278">
        <v>53</v>
      </c>
      <c r="V278">
        <v>90</v>
      </c>
      <c r="W278">
        <v>78</v>
      </c>
      <c r="Y278">
        <v>0</v>
      </c>
      <c r="Z278">
        <v>0</v>
      </c>
      <c r="AB278">
        <f>H278/[1]Sheet1!$H$97</f>
        <v>0</v>
      </c>
      <c r="AD278" t="e">
        <f t="shared" si="15"/>
        <v>#VALUE!</v>
      </c>
      <c r="AG278" t="s">
        <v>28</v>
      </c>
    </row>
    <row r="279" spans="1:33" x14ac:dyDescent="0.25">
      <c r="A279" s="22" t="s">
        <v>511</v>
      </c>
      <c r="D279">
        <v>0</v>
      </c>
      <c r="E279">
        <v>0</v>
      </c>
      <c r="G279" s="21">
        <v>7885</v>
      </c>
      <c r="H279" s="21">
        <v>7885</v>
      </c>
      <c r="I279" s="21">
        <v>7885</v>
      </c>
      <c r="K279">
        <v>43</v>
      </c>
      <c r="L279" t="s">
        <v>108</v>
      </c>
      <c r="M279" s="19" t="s">
        <v>365</v>
      </c>
      <c r="N279">
        <v>44</v>
      </c>
      <c r="O279">
        <v>1155</v>
      </c>
      <c r="P279">
        <v>1155</v>
      </c>
      <c r="Q279">
        <v>1155</v>
      </c>
      <c r="R279">
        <v>1155</v>
      </c>
      <c r="S279" t="s">
        <v>946</v>
      </c>
      <c r="V279">
        <v>87</v>
      </c>
      <c r="W279">
        <v>70</v>
      </c>
      <c r="Y279">
        <v>1.2991466274666066</v>
      </c>
      <c r="Z279">
        <v>1.3085338493188094</v>
      </c>
      <c r="AB279">
        <f>H279/[1]Sheet1!$H$97</f>
        <v>3.9505621988220594</v>
      </c>
      <c r="AD279" t="e">
        <f t="shared" si="15"/>
        <v>#VALUE!</v>
      </c>
      <c r="AG279">
        <f t="shared" ref="AG279:AG293" si="16">K279*Z279</f>
        <v>56.266955520708805</v>
      </c>
    </row>
    <row r="280" spans="1:33" x14ac:dyDescent="0.25">
      <c r="A280" s="22" t="s">
        <v>512</v>
      </c>
      <c r="D280">
        <v>0</v>
      </c>
      <c r="E280">
        <v>0</v>
      </c>
      <c r="G280" s="21">
        <v>4315</v>
      </c>
      <c r="H280" s="21">
        <v>4315</v>
      </c>
      <c r="I280" s="21">
        <v>4315</v>
      </c>
      <c r="K280">
        <v>2</v>
      </c>
      <c r="L280" t="s">
        <v>108</v>
      </c>
      <c r="M280" s="19" t="s">
        <v>365</v>
      </c>
      <c r="N280">
        <v>58</v>
      </c>
      <c r="O280" s="41">
        <f>495+500</f>
        <v>995</v>
      </c>
      <c r="P280" s="41">
        <f>495+500</f>
        <v>995</v>
      </c>
      <c r="Q280" s="41">
        <f>495+500</f>
        <v>995</v>
      </c>
      <c r="R280" s="41" t="s">
        <v>1127</v>
      </c>
      <c r="S280" t="s">
        <v>947</v>
      </c>
      <c r="V280">
        <v>76</v>
      </c>
      <c r="W280">
        <v>36</v>
      </c>
      <c r="Y280">
        <v>0.71094707641324129</v>
      </c>
      <c r="Z280">
        <v>0.71608415470014752</v>
      </c>
      <c r="AB280">
        <f>H280/[1]Sheet1!$H$97</f>
        <v>2.1619119705665426</v>
      </c>
      <c r="AD280" t="e">
        <f t="shared" si="15"/>
        <v>#VALUE!</v>
      </c>
      <c r="AG280">
        <f t="shared" si="16"/>
        <v>1.432168309400295</v>
      </c>
    </row>
    <row r="281" spans="1:33" x14ac:dyDescent="0.25">
      <c r="A281" s="22" t="s">
        <v>513</v>
      </c>
      <c r="D281">
        <v>0</v>
      </c>
      <c r="E281">
        <v>0</v>
      </c>
      <c r="G281" s="21">
        <v>5852</v>
      </c>
      <c r="H281" s="21">
        <v>5852</v>
      </c>
      <c r="I281" s="21">
        <v>5852</v>
      </c>
      <c r="K281">
        <v>44</v>
      </c>
      <c r="L281" t="s">
        <v>108</v>
      </c>
      <c r="M281" s="19" t="s">
        <v>365</v>
      </c>
      <c r="N281">
        <v>43</v>
      </c>
      <c r="O281">
        <v>1117</v>
      </c>
      <c r="P281">
        <v>1117</v>
      </c>
      <c r="Q281">
        <v>1117</v>
      </c>
      <c r="R281">
        <v>1117</v>
      </c>
      <c r="S281" t="s">
        <v>948</v>
      </c>
      <c r="V281">
        <v>87</v>
      </c>
      <c r="W281">
        <v>70</v>
      </c>
      <c r="Y281">
        <v>0.96418593074630077</v>
      </c>
      <c r="Z281">
        <v>0.97115283274745379</v>
      </c>
      <c r="AB281">
        <f>H281/[1]Sheet1!$H$97</f>
        <v>2.9319835114149262</v>
      </c>
      <c r="AD281" t="e">
        <f t="shared" si="15"/>
        <v>#VALUE!</v>
      </c>
      <c r="AG281">
        <f t="shared" si="16"/>
        <v>42.730724640887964</v>
      </c>
    </row>
    <row r="282" spans="1:33" x14ac:dyDescent="0.25">
      <c r="A282" s="22" t="s">
        <v>514</v>
      </c>
      <c r="D282">
        <v>0</v>
      </c>
      <c r="E282">
        <v>0</v>
      </c>
      <c r="G282" s="21">
        <v>7400</v>
      </c>
      <c r="H282" s="21">
        <v>7400</v>
      </c>
      <c r="I282" s="21">
        <v>7400</v>
      </c>
      <c r="K282">
        <v>41</v>
      </c>
      <c r="L282" t="s">
        <v>108</v>
      </c>
      <c r="M282" s="19" t="s">
        <v>365</v>
      </c>
      <c r="N282">
        <v>49</v>
      </c>
      <c r="O282" s="41">
        <f>545+555</f>
        <v>1100</v>
      </c>
      <c r="P282" s="41">
        <f>545+555</f>
        <v>1100</v>
      </c>
      <c r="Q282" s="41">
        <f>545+555</f>
        <v>1100</v>
      </c>
      <c r="R282" s="41" t="s">
        <v>1195</v>
      </c>
      <c r="S282" t="s">
        <v>949</v>
      </c>
      <c r="V282">
        <v>78</v>
      </c>
      <c r="W282">
        <v>58</v>
      </c>
      <c r="Y282">
        <v>1.2192371646484323</v>
      </c>
      <c r="Z282">
        <v>1.2280469860442855</v>
      </c>
      <c r="AB282">
        <f>H282/[1]Sheet1!$H$97</f>
        <v>3.7075662994652174</v>
      </c>
      <c r="AD282" t="e">
        <f t="shared" si="15"/>
        <v>#VALUE!</v>
      </c>
      <c r="AG282">
        <f t="shared" si="16"/>
        <v>50.34992642781571</v>
      </c>
    </row>
    <row r="283" spans="1:33" x14ac:dyDescent="0.25">
      <c r="A283" s="22" t="s">
        <v>515</v>
      </c>
      <c r="D283">
        <v>0</v>
      </c>
      <c r="E283">
        <v>0</v>
      </c>
      <c r="G283" s="21">
        <v>6214</v>
      </c>
      <c r="H283" s="21">
        <v>6214</v>
      </c>
      <c r="I283" s="21">
        <v>6214</v>
      </c>
      <c r="K283">
        <v>41</v>
      </c>
      <c r="L283" t="s">
        <v>516</v>
      </c>
      <c r="M283" s="19" t="s">
        <v>365</v>
      </c>
      <c r="N283">
        <v>46</v>
      </c>
      <c r="O283" s="41">
        <f>540+550</f>
        <v>1090</v>
      </c>
      <c r="P283" s="41">
        <f>540+550</f>
        <v>1090</v>
      </c>
      <c r="Q283" s="41">
        <f>540+550</f>
        <v>1090</v>
      </c>
      <c r="R283" s="41" t="s">
        <v>1196</v>
      </c>
      <c r="S283" t="s">
        <v>950</v>
      </c>
      <c r="V283">
        <v>84</v>
      </c>
      <c r="W283">
        <v>60</v>
      </c>
      <c r="Y283">
        <v>1.0238296947466701</v>
      </c>
      <c r="Z283">
        <v>1.031227563686377</v>
      </c>
      <c r="AB283">
        <f>H283/[1]Sheet1!$H$97</f>
        <v>3.1133536466049816</v>
      </c>
      <c r="AD283" t="e">
        <f t="shared" si="15"/>
        <v>#VALUE!</v>
      </c>
      <c r="AG283">
        <f t="shared" si="16"/>
        <v>42.28033011114146</v>
      </c>
    </row>
    <row r="284" spans="1:33" x14ac:dyDescent="0.25">
      <c r="A284" s="22" t="s">
        <v>517</v>
      </c>
      <c r="D284">
        <v>0</v>
      </c>
      <c r="E284">
        <v>0</v>
      </c>
      <c r="G284" s="21">
        <v>3902</v>
      </c>
      <c r="H284" s="21">
        <v>3902</v>
      </c>
      <c r="I284" s="21">
        <v>3902</v>
      </c>
      <c r="K284">
        <v>42</v>
      </c>
      <c r="L284" t="s">
        <v>108</v>
      </c>
      <c r="M284" s="19" t="s">
        <v>365</v>
      </c>
      <c r="N284" s="29">
        <v>68</v>
      </c>
      <c r="O284" s="41">
        <f>504+510</f>
        <v>1014</v>
      </c>
      <c r="P284" s="41">
        <f>504+510</f>
        <v>1014</v>
      </c>
      <c r="Q284" s="41">
        <f>504+510</f>
        <v>1014</v>
      </c>
      <c r="R284" s="41" t="s">
        <v>1197</v>
      </c>
      <c r="S284" t="s">
        <v>951</v>
      </c>
      <c r="V284">
        <v>74</v>
      </c>
      <c r="W284">
        <v>51</v>
      </c>
      <c r="Y284">
        <v>0.6429004616835382</v>
      </c>
      <c r="Z284">
        <v>0.64754585669524345</v>
      </c>
      <c r="AB284">
        <f>H284/[1]Sheet1!$H$97</f>
        <v>1.9549896892585512</v>
      </c>
      <c r="AD284" t="e">
        <f t="shared" si="15"/>
        <v>#VALUE!</v>
      </c>
      <c r="AG284">
        <f t="shared" si="16"/>
        <v>27.196925981200224</v>
      </c>
    </row>
    <row r="285" spans="1:33" x14ac:dyDescent="0.25">
      <c r="A285" s="22" t="s">
        <v>518</v>
      </c>
      <c r="D285">
        <v>0</v>
      </c>
      <c r="E285">
        <v>0</v>
      </c>
      <c r="G285" s="21">
        <v>4265</v>
      </c>
      <c r="H285" s="21">
        <v>4265</v>
      </c>
      <c r="I285" s="21">
        <v>4265</v>
      </c>
      <c r="K285">
        <v>33</v>
      </c>
      <c r="L285" t="s">
        <v>108</v>
      </c>
      <c r="M285" s="19" t="s">
        <v>365</v>
      </c>
      <c r="N285">
        <v>33</v>
      </c>
      <c r="O285" s="41">
        <f>550+520</f>
        <v>1070</v>
      </c>
      <c r="P285" s="41">
        <f>550+520</f>
        <v>1070</v>
      </c>
      <c r="Q285" s="41">
        <f>550+520</f>
        <v>1070</v>
      </c>
      <c r="R285" s="41" t="s">
        <v>1198</v>
      </c>
      <c r="S285" s="7" t="s">
        <v>952</v>
      </c>
      <c r="T285">
        <f>SUM(T2:T284)</f>
        <v>-31</v>
      </c>
      <c r="U285">
        <f>SUM(U2:U284)</f>
        <v>-32</v>
      </c>
      <c r="V285">
        <v>82</v>
      </c>
      <c r="W285">
        <v>60</v>
      </c>
      <c r="Y285">
        <v>0.70270898746291399</v>
      </c>
      <c r="Z285">
        <v>0.70778653992957807</v>
      </c>
      <c r="AB285">
        <f>H285/[1]Sheet1!$H$97</f>
        <v>2.1368608469215071</v>
      </c>
      <c r="AD285" t="e">
        <f t="shared" si="15"/>
        <v>#VALUE!</v>
      </c>
      <c r="AG285">
        <f t="shared" si="16"/>
        <v>23.356955817676077</v>
      </c>
    </row>
    <row r="286" spans="1:33" ht="135" x14ac:dyDescent="0.25">
      <c r="A286" s="3" t="s">
        <v>519</v>
      </c>
      <c r="B286" s="12" t="s">
        <v>520</v>
      </c>
      <c r="C286" s="12">
        <v>1855</v>
      </c>
      <c r="D286">
        <v>0</v>
      </c>
      <c r="E286">
        <v>0</v>
      </c>
      <c r="F286" s="12" t="s">
        <v>53</v>
      </c>
      <c r="G286" s="12">
        <v>13000</v>
      </c>
      <c r="H286" s="12">
        <v>13000</v>
      </c>
      <c r="I286" s="12">
        <v>13000</v>
      </c>
      <c r="K286" s="12">
        <v>41</v>
      </c>
      <c r="L286" s="12" t="s">
        <v>464</v>
      </c>
      <c r="M286" t="s">
        <v>521</v>
      </c>
      <c r="N286" s="12">
        <v>81</v>
      </c>
      <c r="O286" s="48">
        <f>455+475</f>
        <v>930</v>
      </c>
      <c r="P286" s="48">
        <f>455+475</f>
        <v>930</v>
      </c>
      <c r="Q286" s="46">
        <f>455+475</f>
        <v>930</v>
      </c>
      <c r="R286" s="45" t="s">
        <v>1199</v>
      </c>
      <c r="S286" s="12" t="s">
        <v>975</v>
      </c>
      <c r="T286">
        <v>1</v>
      </c>
      <c r="U286">
        <v>1</v>
      </c>
      <c r="V286">
        <v>74</v>
      </c>
      <c r="W286">
        <v>49</v>
      </c>
      <c r="Y286">
        <v>2.1419031270850835</v>
      </c>
      <c r="Z286">
        <v>2.1573798403480691</v>
      </c>
      <c r="AB286">
        <f>H286/[1]Sheet1!$H$97</f>
        <v>6.5132921477091665</v>
      </c>
      <c r="AD286" t="e">
        <f t="shared" si="15"/>
        <v>#VALUE!</v>
      </c>
      <c r="AG286">
        <f t="shared" si="16"/>
        <v>88.452573454270834</v>
      </c>
    </row>
    <row r="287" spans="1:33" ht="60" x14ac:dyDescent="0.25">
      <c r="A287" s="3" t="s">
        <v>522</v>
      </c>
      <c r="B287" s="3" t="s">
        <v>523</v>
      </c>
      <c r="C287" s="12">
        <v>1908</v>
      </c>
      <c r="D287">
        <v>0</v>
      </c>
      <c r="E287">
        <v>0</v>
      </c>
      <c r="F287" s="12" t="s">
        <v>53</v>
      </c>
      <c r="G287" s="15">
        <v>15885</v>
      </c>
      <c r="H287" s="15">
        <v>15885</v>
      </c>
      <c r="I287" s="15">
        <v>15885</v>
      </c>
      <c r="K287" s="12">
        <v>30</v>
      </c>
      <c r="L287" t="s">
        <v>464</v>
      </c>
      <c r="M287" t="s">
        <v>521</v>
      </c>
      <c r="N287">
        <v>67</v>
      </c>
      <c r="O287" s="41">
        <v>975</v>
      </c>
      <c r="P287" s="41">
        <v>975</v>
      </c>
      <c r="Q287" s="41">
        <v>975</v>
      </c>
      <c r="R287" s="41">
        <v>975</v>
      </c>
      <c r="S287" t="s">
        <v>976</v>
      </c>
      <c r="T287" s="7">
        <v>1</v>
      </c>
      <c r="U287" s="7">
        <v>1</v>
      </c>
      <c r="V287">
        <v>81</v>
      </c>
      <c r="W287">
        <v>64</v>
      </c>
      <c r="Y287">
        <v>2.6172408595189656</v>
      </c>
      <c r="Z287">
        <v>2.6361522126099288</v>
      </c>
      <c r="AB287">
        <f>H287/[1]Sheet1!$H$97</f>
        <v>7.9587419820276999</v>
      </c>
      <c r="AD287" t="e">
        <f t="shared" si="15"/>
        <v>#VALUE!</v>
      </c>
      <c r="AG287">
        <f t="shared" si="16"/>
        <v>79.084566378297865</v>
      </c>
    </row>
    <row r="288" spans="1:33" ht="75" x14ac:dyDescent="0.25">
      <c r="A288" s="3" t="s">
        <v>524</v>
      </c>
      <c r="B288" s="3" t="s">
        <v>525</v>
      </c>
      <c r="C288" s="12">
        <v>1929</v>
      </c>
      <c r="D288">
        <v>0</v>
      </c>
      <c r="E288">
        <v>0</v>
      </c>
      <c r="F288" s="12" t="s">
        <v>53</v>
      </c>
      <c r="G288" s="15">
        <v>6800</v>
      </c>
      <c r="H288" s="15">
        <v>6800</v>
      </c>
      <c r="I288" s="15">
        <v>6800</v>
      </c>
      <c r="K288" s="12">
        <v>16</v>
      </c>
      <c r="L288" t="s">
        <v>464</v>
      </c>
      <c r="M288" t="s">
        <v>521</v>
      </c>
      <c r="N288">
        <v>41</v>
      </c>
      <c r="O288" s="41">
        <f>420+445</f>
        <v>865</v>
      </c>
      <c r="P288" s="41">
        <f>420+445</f>
        <v>865</v>
      </c>
      <c r="Q288" s="41">
        <f>420+445</f>
        <v>865</v>
      </c>
      <c r="R288" s="41" t="s">
        <v>1200</v>
      </c>
      <c r="S288" t="s">
        <v>977</v>
      </c>
      <c r="T288">
        <v>1</v>
      </c>
      <c r="U288">
        <v>1</v>
      </c>
      <c r="V288">
        <v>74</v>
      </c>
      <c r="W288">
        <v>32</v>
      </c>
      <c r="Y288">
        <v>1.1203800972445053</v>
      </c>
      <c r="Z288">
        <v>1.1284756087974515</v>
      </c>
      <c r="AB288">
        <f>H288/[1]Sheet1!$H$97</f>
        <v>3.4069528157247948</v>
      </c>
      <c r="AD288" t="e">
        <f t="shared" si="15"/>
        <v>#VALUE!</v>
      </c>
      <c r="AG288">
        <f t="shared" si="16"/>
        <v>18.055609740759223</v>
      </c>
    </row>
    <row r="289" spans="1:33" ht="90" x14ac:dyDescent="0.25">
      <c r="A289" s="3" t="s">
        <v>526</v>
      </c>
      <c r="B289" s="3" t="s">
        <v>527</v>
      </c>
      <c r="C289" s="12">
        <v>1881</v>
      </c>
      <c r="D289">
        <v>0</v>
      </c>
      <c r="E289">
        <v>0</v>
      </c>
      <c r="F289" s="12" t="s">
        <v>53</v>
      </c>
      <c r="G289" s="15">
        <v>7550</v>
      </c>
      <c r="H289" s="15">
        <v>7550</v>
      </c>
      <c r="I289" s="15">
        <v>7550</v>
      </c>
      <c r="K289" s="30">
        <v>34</v>
      </c>
      <c r="L289" t="s">
        <v>464</v>
      </c>
      <c r="M289" t="s">
        <v>521</v>
      </c>
      <c r="N289">
        <v>65</v>
      </c>
      <c r="O289" s="41">
        <f>575+635</f>
        <v>1210</v>
      </c>
      <c r="P289" s="41">
        <f>575+635</f>
        <v>1210</v>
      </c>
      <c r="Q289" s="41">
        <f>575+635</f>
        <v>1210</v>
      </c>
      <c r="R289" s="41" t="s">
        <v>1201</v>
      </c>
      <c r="S289" t="s">
        <v>978</v>
      </c>
      <c r="T289">
        <v>1</v>
      </c>
      <c r="U289">
        <v>1</v>
      </c>
      <c r="V289">
        <v>86</v>
      </c>
      <c r="W289">
        <v>54</v>
      </c>
      <c r="Y289">
        <v>1.243951431499414</v>
      </c>
      <c r="Z289">
        <v>1.252939830355994</v>
      </c>
      <c r="AB289">
        <f>H289/[1]Sheet1!$H$97</f>
        <v>3.7827196704003234</v>
      </c>
      <c r="AD289" t="e">
        <f t="shared" si="15"/>
        <v>#VALUE!</v>
      </c>
      <c r="AG289">
        <f t="shared" si="16"/>
        <v>42.599954232103798</v>
      </c>
    </row>
    <row r="290" spans="1:33" ht="30" x14ac:dyDescent="0.25">
      <c r="A290" s="3" t="s">
        <v>528</v>
      </c>
      <c r="B290" s="3" t="s">
        <v>529</v>
      </c>
      <c r="C290" s="12">
        <v>1969</v>
      </c>
      <c r="D290">
        <v>0</v>
      </c>
      <c r="E290">
        <v>0</v>
      </c>
      <c r="F290" s="12" t="s">
        <v>53</v>
      </c>
      <c r="G290" s="15">
        <v>6008</v>
      </c>
      <c r="H290" s="15">
        <v>6008</v>
      </c>
      <c r="I290" s="15">
        <v>6008</v>
      </c>
      <c r="K290" s="12">
        <v>36</v>
      </c>
      <c r="L290" t="s">
        <v>464</v>
      </c>
      <c r="M290" t="s">
        <v>521</v>
      </c>
      <c r="N290">
        <v>55</v>
      </c>
      <c r="O290" s="41">
        <f>540+555</f>
        <v>1095</v>
      </c>
      <c r="P290" s="41">
        <f>540+555</f>
        <v>1095</v>
      </c>
      <c r="Q290" s="41">
        <f>540+555</f>
        <v>1095</v>
      </c>
      <c r="R290" s="41" t="s">
        <v>1202</v>
      </c>
      <c r="S290" t="s">
        <v>979</v>
      </c>
      <c r="T290">
        <v>1</v>
      </c>
      <c r="U290">
        <v>1</v>
      </c>
      <c r="V290">
        <v>95</v>
      </c>
      <c r="W290">
        <v>72</v>
      </c>
      <c r="Y290">
        <v>0.98988876827132177</v>
      </c>
      <c r="Z290">
        <v>0.99704139083163068</v>
      </c>
      <c r="AB290">
        <f>H290/[1]Sheet1!$H$97</f>
        <v>3.0101430171874362</v>
      </c>
      <c r="AD290" t="e">
        <f t="shared" si="15"/>
        <v>#VALUE!</v>
      </c>
      <c r="AG290">
        <f t="shared" si="16"/>
        <v>35.893490069938707</v>
      </c>
    </row>
    <row r="291" spans="1:33" ht="45" x14ac:dyDescent="0.25">
      <c r="A291" s="3" t="s">
        <v>530</v>
      </c>
      <c r="B291" s="3" t="s">
        <v>531</v>
      </c>
      <c r="C291" s="12">
        <v>1969</v>
      </c>
      <c r="D291">
        <v>0</v>
      </c>
      <c r="E291">
        <v>0</v>
      </c>
      <c r="F291" s="12" t="s">
        <v>53</v>
      </c>
      <c r="G291" s="15">
        <v>7714</v>
      </c>
      <c r="H291" s="15">
        <v>7714</v>
      </c>
      <c r="I291" s="15">
        <v>7714</v>
      </c>
      <c r="K291" s="12">
        <v>43</v>
      </c>
      <c r="L291" t="s">
        <v>464</v>
      </c>
      <c r="M291" t="s">
        <v>521</v>
      </c>
      <c r="N291">
        <v>62</v>
      </c>
      <c r="O291" s="41">
        <f>530+550</f>
        <v>1080</v>
      </c>
      <c r="P291" s="41">
        <f>530+550</f>
        <v>1080</v>
      </c>
      <c r="Q291" s="41">
        <f>530+550</f>
        <v>1080</v>
      </c>
      <c r="R291" s="41" t="s">
        <v>1203</v>
      </c>
      <c r="S291" t="s">
        <v>980</v>
      </c>
      <c r="T291">
        <v>1</v>
      </c>
      <c r="U291">
        <v>1</v>
      </c>
      <c r="V291">
        <v>87</v>
      </c>
      <c r="W291">
        <v>67</v>
      </c>
      <c r="Y291">
        <v>1.2709723632564873</v>
      </c>
      <c r="Z291">
        <v>1.2801560068034619</v>
      </c>
      <c r="AB291">
        <f>H291/[1]Sheet1!$H$97</f>
        <v>3.8648873559560388</v>
      </c>
      <c r="AD291" t="e">
        <f t="shared" si="15"/>
        <v>#VALUE!</v>
      </c>
      <c r="AG291">
        <f t="shared" si="16"/>
        <v>55.046708292548857</v>
      </c>
    </row>
    <row r="292" spans="1:33" ht="45" x14ac:dyDescent="0.25">
      <c r="A292" s="3" t="s">
        <v>532</v>
      </c>
      <c r="B292" s="12" t="s">
        <v>533</v>
      </c>
      <c r="C292" s="12">
        <v>1923</v>
      </c>
      <c r="D292">
        <v>0</v>
      </c>
      <c r="E292">
        <v>0</v>
      </c>
      <c r="F292" s="12" t="s">
        <v>53</v>
      </c>
      <c r="G292" s="15">
        <v>16022</v>
      </c>
      <c r="H292" s="15">
        <v>16022</v>
      </c>
      <c r="I292" s="15">
        <v>16022</v>
      </c>
      <c r="K292" s="30">
        <v>19</v>
      </c>
      <c r="L292" t="s">
        <v>464</v>
      </c>
      <c r="M292" t="s">
        <v>521</v>
      </c>
      <c r="N292">
        <v>60</v>
      </c>
      <c r="O292" s="41">
        <f>520+545</f>
        <v>1065</v>
      </c>
      <c r="P292" s="41">
        <f>520+545</f>
        <v>1065</v>
      </c>
      <c r="Q292" s="41">
        <f>520+545</f>
        <v>1065</v>
      </c>
      <c r="R292" s="41" t="s">
        <v>1204</v>
      </c>
      <c r="S292" t="s">
        <v>981</v>
      </c>
      <c r="T292">
        <v>1</v>
      </c>
      <c r="U292">
        <v>1</v>
      </c>
      <c r="V292">
        <v>84</v>
      </c>
      <c r="W292">
        <v>72</v>
      </c>
      <c r="Y292">
        <v>2.6398132232428622</v>
      </c>
      <c r="Z292">
        <v>2.6588876770812893</v>
      </c>
      <c r="AB292">
        <f>H292/[1]Sheet1!$H$97</f>
        <v>8.0273820608150963</v>
      </c>
      <c r="AD292" t="e">
        <f t="shared" si="15"/>
        <v>#VALUE!</v>
      </c>
      <c r="AG292">
        <f t="shared" si="16"/>
        <v>50.518865864544495</v>
      </c>
    </row>
    <row r="293" spans="1:33" ht="105" x14ac:dyDescent="0.25">
      <c r="A293" s="12" t="s">
        <v>534</v>
      </c>
      <c r="B293" s="12" t="s">
        <v>535</v>
      </c>
      <c r="C293" s="12">
        <v>1766</v>
      </c>
      <c r="D293">
        <v>0</v>
      </c>
      <c r="E293">
        <v>0</v>
      </c>
      <c r="F293" s="3" t="s">
        <v>53</v>
      </c>
      <c r="G293" s="15">
        <v>45000</v>
      </c>
      <c r="H293" s="15">
        <v>45000</v>
      </c>
      <c r="I293" s="15">
        <v>45000</v>
      </c>
      <c r="K293" s="30">
        <v>23</v>
      </c>
      <c r="L293" t="s">
        <v>192</v>
      </c>
      <c r="M293" t="s">
        <v>521</v>
      </c>
      <c r="N293">
        <v>59</v>
      </c>
      <c r="O293" s="41">
        <f>500+520</f>
        <v>1020</v>
      </c>
      <c r="P293" s="41">
        <f>500+520</f>
        <v>1020</v>
      </c>
      <c r="Q293" s="41">
        <f>500+520</f>
        <v>1020</v>
      </c>
      <c r="R293" s="41" t="s">
        <v>1205</v>
      </c>
      <c r="S293" t="s">
        <v>982</v>
      </c>
      <c r="T293">
        <v>1</v>
      </c>
      <c r="U293">
        <v>1</v>
      </c>
      <c r="V293">
        <v>91</v>
      </c>
      <c r="W293">
        <v>77</v>
      </c>
      <c r="Y293">
        <v>7.4142800552945207</v>
      </c>
      <c r="Z293">
        <v>7.4678532935125466</v>
      </c>
      <c r="AB293">
        <f>H293/[1]Sheet1!$H$97</f>
        <v>22.546011280531729</v>
      </c>
      <c r="AD293" t="e">
        <f t="shared" si="15"/>
        <v>#VALUE!</v>
      </c>
      <c r="AG293">
        <f t="shared" si="16"/>
        <v>171.76062575078856</v>
      </c>
    </row>
    <row r="294" spans="1:33" ht="60" x14ac:dyDescent="0.25">
      <c r="A294" s="3" t="s">
        <v>536</v>
      </c>
      <c r="B294" s="3" t="s">
        <v>537</v>
      </c>
      <c r="C294" s="12">
        <v>1855</v>
      </c>
      <c r="D294">
        <v>0</v>
      </c>
      <c r="E294">
        <v>0</v>
      </c>
      <c r="F294" s="12" t="s">
        <v>53</v>
      </c>
      <c r="G294" s="15">
        <v>6653</v>
      </c>
      <c r="H294" s="15" t="s">
        <v>28</v>
      </c>
      <c r="I294" s="15" t="s">
        <v>28</v>
      </c>
      <c r="K294" s="32" t="s">
        <v>287</v>
      </c>
      <c r="M294" t="s">
        <v>521</v>
      </c>
      <c r="N294">
        <v>43</v>
      </c>
      <c r="V294">
        <v>94</v>
      </c>
      <c r="W294">
        <v>86</v>
      </c>
      <c r="Y294" t="s">
        <v>28</v>
      </c>
      <c r="Z294" t="s">
        <v>28</v>
      </c>
      <c r="AB294" t="e">
        <f>H294/[1]Sheet1!$H$97</f>
        <v>#VALUE!</v>
      </c>
      <c r="AD294" t="e">
        <f t="shared" si="15"/>
        <v>#VALUE!</v>
      </c>
      <c r="AG294" t="s">
        <v>28</v>
      </c>
    </row>
    <row r="295" spans="1:33" ht="60" x14ac:dyDescent="0.25">
      <c r="A295" s="3" t="s">
        <v>538</v>
      </c>
      <c r="B295" s="3" t="s">
        <v>539</v>
      </c>
      <c r="C295" s="12">
        <v>1972</v>
      </c>
      <c r="D295">
        <v>0</v>
      </c>
      <c r="E295">
        <v>0</v>
      </c>
      <c r="F295" s="12" t="s">
        <v>53</v>
      </c>
      <c r="G295" s="15">
        <v>19596</v>
      </c>
      <c r="H295" s="15" t="s">
        <v>28</v>
      </c>
      <c r="I295" s="15" t="s">
        <v>28</v>
      </c>
      <c r="K295" s="12" t="s">
        <v>540</v>
      </c>
      <c r="M295" t="s">
        <v>521</v>
      </c>
      <c r="N295" t="s">
        <v>287</v>
      </c>
      <c r="Y295" t="s">
        <v>28</v>
      </c>
      <c r="Z295" t="s">
        <v>28</v>
      </c>
      <c r="AB295" t="e">
        <f>H295/[1]Sheet1!$H$97</f>
        <v>#VALUE!</v>
      </c>
      <c r="AD295" t="e">
        <f t="shared" si="15"/>
        <v>#VALUE!</v>
      </c>
      <c r="AG295" t="s">
        <v>28</v>
      </c>
    </row>
    <row r="296" spans="1:33" ht="60" x14ac:dyDescent="0.25">
      <c r="A296" s="3" t="s">
        <v>541</v>
      </c>
      <c r="B296" s="3" t="s">
        <v>542</v>
      </c>
      <c r="C296" s="12">
        <v>1855</v>
      </c>
      <c r="D296">
        <v>0</v>
      </c>
      <c r="E296">
        <v>0</v>
      </c>
      <c r="F296" s="12" t="s">
        <v>53</v>
      </c>
      <c r="G296" s="15">
        <v>10028</v>
      </c>
      <c r="H296" s="15">
        <v>10028</v>
      </c>
      <c r="I296" s="15">
        <v>10028</v>
      </c>
      <c r="K296" s="12">
        <v>16</v>
      </c>
      <c r="L296" t="s">
        <v>464</v>
      </c>
      <c r="M296" t="s">
        <v>521</v>
      </c>
      <c r="N296">
        <v>68</v>
      </c>
      <c r="O296" s="41">
        <f>490+500</f>
        <v>990</v>
      </c>
      <c r="P296" s="41">
        <f>490+500</f>
        <v>990</v>
      </c>
      <c r="Q296" s="41">
        <f>490+500</f>
        <v>990</v>
      </c>
      <c r="R296" s="41" t="s">
        <v>1206</v>
      </c>
      <c r="S296" t="s">
        <v>983</v>
      </c>
      <c r="T296">
        <v>1</v>
      </c>
      <c r="U296">
        <v>1</v>
      </c>
      <c r="V296">
        <v>77</v>
      </c>
      <c r="W296">
        <v>50</v>
      </c>
      <c r="Y296">
        <v>1.6522311198776323</v>
      </c>
      <c r="Z296">
        <v>1.6641696183854182</v>
      </c>
      <c r="AB296">
        <f>H296/[1]Sheet1!$H$97</f>
        <v>5.0242533582482709</v>
      </c>
      <c r="AD296" t="e">
        <f t="shared" si="15"/>
        <v>#VALUE!</v>
      </c>
      <c r="AG296">
        <f t="shared" ref="AG296:AG304" si="17">K296*Z296</f>
        <v>26.626713894166691</v>
      </c>
    </row>
    <row r="297" spans="1:33" ht="45" x14ac:dyDescent="0.25">
      <c r="A297" s="3" t="s">
        <v>543</v>
      </c>
      <c r="B297" s="3" t="s">
        <v>544</v>
      </c>
      <c r="C297" s="12">
        <v>1868</v>
      </c>
      <c r="D297">
        <v>1</v>
      </c>
      <c r="E297">
        <v>1</v>
      </c>
      <c r="F297" s="12" t="s">
        <v>2</v>
      </c>
      <c r="G297" s="3">
        <v>2100</v>
      </c>
      <c r="H297" s="3">
        <v>2100</v>
      </c>
      <c r="I297" s="3">
        <v>2100</v>
      </c>
      <c r="K297" s="12">
        <v>25</v>
      </c>
      <c r="L297" s="12" t="s">
        <v>464</v>
      </c>
      <c r="M297" t="s">
        <v>521</v>
      </c>
      <c r="N297">
        <v>59</v>
      </c>
      <c r="O297" s="41">
        <f>425+435</f>
        <v>860</v>
      </c>
      <c r="P297" s="41">
        <f>425+435</f>
        <v>860</v>
      </c>
      <c r="Q297" s="41">
        <f>425+435</f>
        <v>860</v>
      </c>
      <c r="R297" s="41" t="s">
        <v>1174</v>
      </c>
      <c r="S297" t="s">
        <v>984</v>
      </c>
      <c r="T297">
        <v>1</v>
      </c>
      <c r="U297">
        <v>1</v>
      </c>
      <c r="V297">
        <v>63</v>
      </c>
      <c r="W297">
        <v>32</v>
      </c>
      <c r="Y297">
        <v>0.34599973591374428</v>
      </c>
      <c r="Z297">
        <v>0.34849982036391886</v>
      </c>
      <c r="AB297">
        <f>H297/[1]Sheet1!$H$97</f>
        <v>1.0521471930914807</v>
      </c>
      <c r="AD297" t="e">
        <f t="shared" si="15"/>
        <v>#VALUE!</v>
      </c>
      <c r="AG297">
        <f t="shared" si="17"/>
        <v>8.7124955090979714</v>
      </c>
    </row>
    <row r="298" spans="1:33" ht="45" x14ac:dyDescent="0.25">
      <c r="A298" s="3" t="s">
        <v>545</v>
      </c>
      <c r="B298" s="3" t="s">
        <v>546</v>
      </c>
      <c r="C298" s="12">
        <v>1939</v>
      </c>
      <c r="D298">
        <v>1</v>
      </c>
      <c r="E298">
        <v>1</v>
      </c>
      <c r="F298" s="12" t="s">
        <v>2</v>
      </c>
      <c r="G298" s="3">
        <v>938</v>
      </c>
      <c r="H298" s="3">
        <v>938</v>
      </c>
      <c r="I298" s="3">
        <v>938</v>
      </c>
      <c r="K298" s="12">
        <v>24</v>
      </c>
      <c r="L298" s="12" t="s">
        <v>464</v>
      </c>
      <c r="M298" t="s">
        <v>521</v>
      </c>
      <c r="N298">
        <v>66</v>
      </c>
      <c r="O298" s="41">
        <f>475+490</f>
        <v>965</v>
      </c>
      <c r="P298" s="41">
        <f>475+490</f>
        <v>965</v>
      </c>
      <c r="Q298" s="41">
        <f>475+490</f>
        <v>965</v>
      </c>
      <c r="R298" s="41" t="s">
        <v>1207</v>
      </c>
      <c r="S298" t="s">
        <v>985</v>
      </c>
      <c r="T298">
        <v>1</v>
      </c>
      <c r="U298">
        <v>1</v>
      </c>
      <c r="V298">
        <v>73</v>
      </c>
      <c r="W298">
        <v>58</v>
      </c>
      <c r="Y298">
        <v>0.15454654870813911</v>
      </c>
      <c r="Z298">
        <v>0.15566325309588375</v>
      </c>
      <c r="AB298">
        <f>H298/[1]Sheet1!$H$97</f>
        <v>0.46995907958086136</v>
      </c>
      <c r="AD298" t="e">
        <f t="shared" si="15"/>
        <v>#VALUE!</v>
      </c>
      <c r="AG298">
        <f t="shared" si="17"/>
        <v>3.7359180743012099</v>
      </c>
    </row>
    <row r="299" spans="1:33" ht="30" x14ac:dyDescent="0.25">
      <c r="A299" s="3" t="s">
        <v>547</v>
      </c>
      <c r="B299" s="3" t="s">
        <v>548</v>
      </c>
      <c r="C299" s="12">
        <v>1867</v>
      </c>
      <c r="D299">
        <v>1</v>
      </c>
      <c r="E299">
        <v>1</v>
      </c>
      <c r="F299" s="12" t="s">
        <v>2</v>
      </c>
      <c r="G299" s="3">
        <v>1708</v>
      </c>
      <c r="H299" s="3">
        <v>1708</v>
      </c>
      <c r="I299" s="3">
        <v>1708</v>
      </c>
      <c r="K299" s="12">
        <v>7</v>
      </c>
      <c r="L299" s="12" t="s">
        <v>464</v>
      </c>
      <c r="M299" t="s">
        <v>521</v>
      </c>
      <c r="N299">
        <v>91</v>
      </c>
      <c r="O299" s="41">
        <f>460+465</f>
        <v>925</v>
      </c>
      <c r="P299" s="41">
        <f>460+465</f>
        <v>925</v>
      </c>
      <c r="Q299" s="41">
        <f>460+465</f>
        <v>925</v>
      </c>
      <c r="R299" s="41" t="s">
        <v>1208</v>
      </c>
      <c r="S299" t="s">
        <v>986</v>
      </c>
      <c r="T299">
        <v>1</v>
      </c>
      <c r="U299">
        <v>1</v>
      </c>
      <c r="V299">
        <v>76</v>
      </c>
      <c r="W299">
        <v>50</v>
      </c>
      <c r="Y299">
        <v>0.28141311854317869</v>
      </c>
      <c r="Z299">
        <v>0.28344652056265401</v>
      </c>
      <c r="AB299">
        <f>H299/[1]Sheet1!$H$97</f>
        <v>0.85574638371440426</v>
      </c>
      <c r="AD299" t="e">
        <f t="shared" si="15"/>
        <v>#VALUE!</v>
      </c>
      <c r="AG299">
        <f t="shared" si="17"/>
        <v>1.9841256439385782</v>
      </c>
    </row>
    <row r="300" spans="1:33" ht="75" x14ac:dyDescent="0.25">
      <c r="A300" s="3" t="s">
        <v>549</v>
      </c>
      <c r="B300" s="12" t="s">
        <v>550</v>
      </c>
      <c r="C300" s="12">
        <v>1899</v>
      </c>
      <c r="D300">
        <v>1</v>
      </c>
      <c r="E300">
        <v>1</v>
      </c>
      <c r="F300" s="12" t="s">
        <v>2</v>
      </c>
      <c r="G300" s="15">
        <v>2044</v>
      </c>
      <c r="H300" s="15">
        <v>2044</v>
      </c>
      <c r="I300" s="15">
        <v>2044</v>
      </c>
      <c r="K300" s="12">
        <v>29</v>
      </c>
      <c r="L300" t="s">
        <v>464</v>
      </c>
      <c r="M300" t="s">
        <v>521</v>
      </c>
      <c r="N300">
        <v>48</v>
      </c>
      <c r="O300" s="41">
        <f>396+409</f>
        <v>805</v>
      </c>
      <c r="P300" s="41">
        <f>396+409</f>
        <v>805</v>
      </c>
      <c r="Q300" s="41">
        <f>396+409</f>
        <v>805</v>
      </c>
      <c r="R300" s="41" t="s">
        <v>1209</v>
      </c>
      <c r="S300" t="s">
        <v>987</v>
      </c>
      <c r="T300">
        <v>1</v>
      </c>
      <c r="U300">
        <v>1</v>
      </c>
      <c r="V300">
        <v>68</v>
      </c>
      <c r="W300">
        <v>58</v>
      </c>
      <c r="Y300">
        <v>0.33677307628937775</v>
      </c>
      <c r="Z300">
        <v>0.33920649182088103</v>
      </c>
      <c r="AB300">
        <f>H300/[1]Sheet1!$H$97</f>
        <v>1.0240899346090413</v>
      </c>
      <c r="AD300" t="e">
        <f t="shared" si="15"/>
        <v>#VALUE!</v>
      </c>
      <c r="AG300">
        <f t="shared" si="17"/>
        <v>9.8369882628055496</v>
      </c>
    </row>
    <row r="301" spans="1:33" ht="45" x14ac:dyDescent="0.25">
      <c r="A301" s="3" t="s">
        <v>551</v>
      </c>
      <c r="B301" s="3" t="s">
        <v>552</v>
      </c>
      <c r="C301" s="12">
        <v>1867</v>
      </c>
      <c r="D301">
        <v>0</v>
      </c>
      <c r="E301">
        <v>1</v>
      </c>
      <c r="F301" s="12" t="s">
        <v>2</v>
      </c>
      <c r="G301" s="15">
        <v>1417</v>
      </c>
      <c r="H301" s="15">
        <v>1417</v>
      </c>
      <c r="I301" s="15">
        <v>1417</v>
      </c>
      <c r="K301" s="12">
        <v>42</v>
      </c>
      <c r="L301" t="s">
        <v>464</v>
      </c>
      <c r="M301" t="s">
        <v>521</v>
      </c>
      <c r="N301">
        <v>47</v>
      </c>
      <c r="O301">
        <f>1593-12.418*N301+0.065*N301*N301</f>
        <v>1152.9390000000001</v>
      </c>
      <c r="P301">
        <f>1451-5.739*N301</f>
        <v>1181.2670000000001</v>
      </c>
      <c r="T301" t="s">
        <v>28</v>
      </c>
      <c r="U301" t="s">
        <v>28</v>
      </c>
      <c r="V301">
        <v>76</v>
      </c>
      <c r="W301">
        <v>68</v>
      </c>
      <c r="Y301">
        <v>0.23346744085227411</v>
      </c>
      <c r="Z301">
        <v>0.23515440259793952</v>
      </c>
      <c r="AB301">
        <f>H301/[1]Sheet1!$H$97</f>
        <v>0.70994884410029913</v>
      </c>
      <c r="AD301" t="e">
        <f t="shared" si="15"/>
        <v>#VALUE!</v>
      </c>
      <c r="AG301">
        <f t="shared" si="17"/>
        <v>9.8764849091134597</v>
      </c>
    </row>
    <row r="302" spans="1:33" ht="90" x14ac:dyDescent="0.25">
      <c r="A302" s="3" t="s">
        <v>553</v>
      </c>
      <c r="B302" s="12" t="s">
        <v>554</v>
      </c>
      <c r="C302" s="12">
        <v>1942</v>
      </c>
      <c r="D302">
        <v>0</v>
      </c>
      <c r="E302">
        <v>1</v>
      </c>
      <c r="F302" s="12" t="s">
        <v>2</v>
      </c>
      <c r="G302" s="12">
        <v>8585</v>
      </c>
      <c r="H302" s="12">
        <v>8585</v>
      </c>
      <c r="I302" s="12">
        <v>8585</v>
      </c>
      <c r="K302" s="12">
        <v>36</v>
      </c>
      <c r="L302" s="12" t="s">
        <v>464</v>
      </c>
      <c r="M302" t="s">
        <v>521</v>
      </c>
      <c r="N302">
        <v>53</v>
      </c>
      <c r="O302" s="41">
        <f>515+515</f>
        <v>1030</v>
      </c>
      <c r="P302" s="41">
        <f>515+515</f>
        <v>1030</v>
      </c>
      <c r="Q302" s="41">
        <f>515+515</f>
        <v>1030</v>
      </c>
      <c r="R302" s="41" t="s">
        <v>1210</v>
      </c>
      <c r="S302" t="s">
        <v>988</v>
      </c>
      <c r="T302">
        <v>1</v>
      </c>
      <c r="U302">
        <v>1</v>
      </c>
      <c r="V302">
        <v>73</v>
      </c>
      <c r="W302">
        <v>55</v>
      </c>
      <c r="Y302">
        <v>1.414479872771188</v>
      </c>
      <c r="Z302">
        <v>1.4247004561067824</v>
      </c>
      <c r="AB302">
        <f>H302/[1]Sheet1!$H$97</f>
        <v>4.301277929852553</v>
      </c>
      <c r="AD302" t="e">
        <f t="shared" si="15"/>
        <v>#VALUE!</v>
      </c>
      <c r="AG302">
        <f t="shared" si="17"/>
        <v>51.289216419844166</v>
      </c>
    </row>
    <row r="303" spans="1:33" ht="30" x14ac:dyDescent="0.25">
      <c r="A303" s="3" t="s">
        <v>555</v>
      </c>
      <c r="B303" s="12" t="s">
        <v>556</v>
      </c>
      <c r="C303" s="12">
        <v>1942</v>
      </c>
      <c r="D303">
        <v>1</v>
      </c>
      <c r="E303">
        <v>1</v>
      </c>
      <c r="F303" s="12" t="s">
        <v>2</v>
      </c>
      <c r="G303" s="15">
        <v>1775</v>
      </c>
      <c r="H303" s="15">
        <v>1775</v>
      </c>
      <c r="I303" s="15">
        <v>1775</v>
      </c>
      <c r="K303" s="12">
        <v>21</v>
      </c>
      <c r="L303" t="s">
        <v>464</v>
      </c>
      <c r="M303" t="s">
        <v>521</v>
      </c>
      <c r="N303">
        <v>88</v>
      </c>
      <c r="O303">
        <f>1593-12.418*N303+0.065*N303*N303</f>
        <v>1003.5760000000002</v>
      </c>
      <c r="P303">
        <f>1451-5.739*N303</f>
        <v>945.96800000000007</v>
      </c>
      <c r="T303" t="s">
        <v>28</v>
      </c>
      <c r="U303" t="s">
        <v>28</v>
      </c>
      <c r="V303">
        <v>76</v>
      </c>
      <c r="W303">
        <v>36</v>
      </c>
      <c r="Y303">
        <v>0.2924521577366172</v>
      </c>
      <c r="Z303">
        <v>0.2945653243552171</v>
      </c>
      <c r="AB303">
        <f>H303/[1]Sheet1!$H$97</f>
        <v>0.88931488939875147</v>
      </c>
      <c r="AD303" t="e">
        <f t="shared" si="15"/>
        <v>#VALUE!</v>
      </c>
      <c r="AG303">
        <f t="shared" si="17"/>
        <v>6.1858718114595588</v>
      </c>
    </row>
    <row r="304" spans="1:33" ht="60" x14ac:dyDescent="0.25">
      <c r="A304" s="3" t="s">
        <v>557</v>
      </c>
      <c r="B304" s="3" t="s">
        <v>558</v>
      </c>
      <c r="C304" s="12">
        <v>1908</v>
      </c>
      <c r="D304">
        <v>1</v>
      </c>
      <c r="E304">
        <v>1</v>
      </c>
      <c r="F304" s="12" t="s">
        <v>2</v>
      </c>
      <c r="G304" s="15">
        <v>1621</v>
      </c>
      <c r="H304" s="15">
        <v>1621</v>
      </c>
      <c r="I304" s="15">
        <v>1621</v>
      </c>
      <c r="K304" s="12">
        <v>15</v>
      </c>
      <c r="L304" t="s">
        <v>464</v>
      </c>
      <c r="M304" t="s">
        <v>521</v>
      </c>
      <c r="N304">
        <v>78</v>
      </c>
      <c r="O304" s="41">
        <f>465+480</f>
        <v>945</v>
      </c>
      <c r="P304" s="41">
        <f>465+480</f>
        <v>945</v>
      </c>
      <c r="Q304" s="41">
        <f>465+480</f>
        <v>945</v>
      </c>
      <c r="R304" s="41" t="s">
        <v>1211</v>
      </c>
      <c r="S304" t="s">
        <v>989</v>
      </c>
      <c r="T304">
        <v>1</v>
      </c>
      <c r="U304">
        <v>1</v>
      </c>
      <c r="V304">
        <v>71</v>
      </c>
      <c r="W304">
        <v>52</v>
      </c>
      <c r="Y304">
        <v>0.26707884376960928</v>
      </c>
      <c r="Z304">
        <v>0.26900867086186309</v>
      </c>
      <c r="AB304">
        <f>H304/[1]Sheet1!$H$97</f>
        <v>0.81215742857204298</v>
      </c>
      <c r="AD304" t="e">
        <f t="shared" si="15"/>
        <v>#VALUE!</v>
      </c>
      <c r="AG304">
        <f t="shared" si="17"/>
        <v>4.0351300629279461</v>
      </c>
    </row>
    <row r="305" spans="1:33" ht="60" x14ac:dyDescent="0.25">
      <c r="A305" s="3" t="s">
        <v>559</v>
      </c>
      <c r="B305" s="3" t="s">
        <v>560</v>
      </c>
      <c r="C305" s="12">
        <v>1933</v>
      </c>
      <c r="D305">
        <v>0</v>
      </c>
      <c r="E305">
        <v>1</v>
      </c>
      <c r="F305" s="12" t="s">
        <v>2</v>
      </c>
      <c r="G305" s="15">
        <v>4634</v>
      </c>
      <c r="H305" s="15" t="s">
        <v>28</v>
      </c>
      <c r="I305" s="15" t="s">
        <v>28</v>
      </c>
      <c r="K305" s="12" t="s">
        <v>287</v>
      </c>
      <c r="M305" t="s">
        <v>521</v>
      </c>
      <c r="N305">
        <v>78</v>
      </c>
      <c r="O305" s="41">
        <f>525+510</f>
        <v>1035</v>
      </c>
      <c r="P305" s="41">
        <f>525+510</f>
        <v>1035</v>
      </c>
      <c r="Q305" s="41">
        <f>525+510</f>
        <v>1035</v>
      </c>
      <c r="R305" s="41" t="s">
        <v>1212</v>
      </c>
      <c r="S305" t="s">
        <v>990</v>
      </c>
      <c r="V305">
        <v>80</v>
      </c>
      <c r="W305">
        <v>66</v>
      </c>
      <c r="Y305" t="s">
        <v>28</v>
      </c>
      <c r="Z305" t="s">
        <v>28</v>
      </c>
      <c r="AB305" t="e">
        <f>H305/[1]Sheet1!$H$97</f>
        <v>#VALUE!</v>
      </c>
      <c r="AD305" t="e">
        <f t="shared" si="15"/>
        <v>#VALUE!</v>
      </c>
      <c r="AG305" t="s">
        <v>28</v>
      </c>
    </row>
    <row r="306" spans="1:33" ht="60" x14ac:dyDescent="0.25">
      <c r="A306" s="3" t="s">
        <v>561</v>
      </c>
      <c r="B306" s="3" t="s">
        <v>562</v>
      </c>
      <c r="C306" s="12">
        <v>1746</v>
      </c>
      <c r="D306">
        <v>0</v>
      </c>
      <c r="E306">
        <v>1</v>
      </c>
      <c r="F306" s="12" t="s">
        <v>2</v>
      </c>
      <c r="G306" s="15">
        <v>5391</v>
      </c>
      <c r="H306" s="15">
        <v>5391</v>
      </c>
      <c r="I306" s="15">
        <v>5391</v>
      </c>
      <c r="K306" s="12">
        <v>24</v>
      </c>
      <c r="L306" t="s">
        <v>134</v>
      </c>
      <c r="M306" t="s">
        <v>521</v>
      </c>
      <c r="N306">
        <v>7</v>
      </c>
      <c r="O306" s="41">
        <f>740+750</f>
        <v>1490</v>
      </c>
      <c r="P306" s="41">
        <f>740+750</f>
        <v>1490</v>
      </c>
      <c r="Q306" s="41">
        <f>740+750</f>
        <v>1490</v>
      </c>
      <c r="R306" s="41" t="s">
        <v>1213</v>
      </c>
      <c r="S306" t="s">
        <v>991</v>
      </c>
      <c r="T306">
        <v>1</v>
      </c>
      <c r="U306">
        <v>1</v>
      </c>
      <c r="V306">
        <v>98</v>
      </c>
      <c r="W306">
        <v>96</v>
      </c>
      <c r="Y306">
        <v>0.88823075062428358</v>
      </c>
      <c r="Z306">
        <v>0.89464882456280304</v>
      </c>
      <c r="AB306">
        <f>H306/[1]Sheet1!$H$97</f>
        <v>2.701012151407701</v>
      </c>
      <c r="AD306" t="e">
        <f t="shared" si="15"/>
        <v>#VALUE!</v>
      </c>
      <c r="AG306">
        <f>K306*Z306</f>
        <v>21.471571789507273</v>
      </c>
    </row>
    <row r="307" spans="1:33" ht="90" x14ac:dyDescent="0.25">
      <c r="A307" s="3" t="s">
        <v>563</v>
      </c>
      <c r="B307" s="12" t="s">
        <v>564</v>
      </c>
      <c r="C307" s="12">
        <v>1865</v>
      </c>
      <c r="D307">
        <v>0</v>
      </c>
      <c r="E307">
        <v>1</v>
      </c>
      <c r="F307" s="12" t="s">
        <v>2</v>
      </c>
      <c r="G307" s="15">
        <v>4400</v>
      </c>
      <c r="H307" s="15">
        <v>4400</v>
      </c>
      <c r="I307" s="15">
        <v>4400</v>
      </c>
      <c r="K307" s="12">
        <v>36</v>
      </c>
      <c r="L307" t="s">
        <v>464</v>
      </c>
      <c r="M307" t="s">
        <v>521</v>
      </c>
      <c r="N307">
        <v>69</v>
      </c>
      <c r="O307" s="41">
        <f>500+510</f>
        <v>1010</v>
      </c>
      <c r="P307" s="41">
        <f>500+510</f>
        <v>1010</v>
      </c>
      <c r="Q307" s="41">
        <f>500+510</f>
        <v>1010</v>
      </c>
      <c r="R307" s="41" t="s">
        <v>1214</v>
      </c>
      <c r="S307" t="s">
        <v>992</v>
      </c>
      <c r="T307">
        <v>1</v>
      </c>
      <c r="U307">
        <v>1</v>
      </c>
      <c r="V307">
        <v>79</v>
      </c>
      <c r="W307">
        <v>63</v>
      </c>
      <c r="Y307">
        <v>0.72495182762879751</v>
      </c>
      <c r="Z307">
        <v>0.73019009981011562</v>
      </c>
      <c r="AB307">
        <f>H307/[1]Sheet1!$H$97</f>
        <v>2.2044988807631025</v>
      </c>
      <c r="AD307" t="e">
        <f t="shared" si="15"/>
        <v>#VALUE!</v>
      </c>
      <c r="AG307">
        <f>K307*Z307</f>
        <v>26.286843593164164</v>
      </c>
    </row>
    <row r="308" spans="1:33" ht="195" x14ac:dyDescent="0.25">
      <c r="A308" s="3" t="s">
        <v>565</v>
      </c>
      <c r="B308" s="3" t="s">
        <v>525</v>
      </c>
      <c r="C308" s="12">
        <v>1881</v>
      </c>
      <c r="D308">
        <v>1</v>
      </c>
      <c r="E308">
        <v>1</v>
      </c>
      <c r="F308" s="12" t="s">
        <v>2</v>
      </c>
      <c r="G308" s="15">
        <v>2506</v>
      </c>
      <c r="H308" s="15" t="s">
        <v>28</v>
      </c>
      <c r="I308" s="15" t="s">
        <v>28</v>
      </c>
      <c r="K308" s="12" t="s">
        <v>566</v>
      </c>
      <c r="M308" t="s">
        <v>521</v>
      </c>
      <c r="N308">
        <v>54</v>
      </c>
      <c r="O308" s="41">
        <f>455+467</f>
        <v>922</v>
      </c>
      <c r="P308" s="41">
        <f>455+467</f>
        <v>922</v>
      </c>
      <c r="Q308" s="41">
        <f>455+467</f>
        <v>922</v>
      </c>
      <c r="R308" s="41" t="s">
        <v>1215</v>
      </c>
      <c r="S308" t="s">
        <v>993</v>
      </c>
      <c r="V308">
        <v>74</v>
      </c>
      <c r="W308">
        <v>51</v>
      </c>
      <c r="Y308" t="s">
        <v>28</v>
      </c>
      <c r="Z308" t="s">
        <v>28</v>
      </c>
      <c r="AB308" t="e">
        <f>H308/[1]Sheet1!$H$97</f>
        <v>#VALUE!</v>
      </c>
      <c r="AD308" t="e">
        <f t="shared" si="15"/>
        <v>#VALUE!</v>
      </c>
      <c r="AG308" t="s">
        <v>28</v>
      </c>
    </row>
    <row r="309" spans="1:33" ht="60" x14ac:dyDescent="0.25">
      <c r="A309" s="3" t="s">
        <v>567</v>
      </c>
      <c r="B309" s="3" t="s">
        <v>568</v>
      </c>
      <c r="C309" s="12">
        <v>1856</v>
      </c>
      <c r="D309">
        <v>1</v>
      </c>
      <c r="E309">
        <v>1</v>
      </c>
      <c r="F309" s="12" t="s">
        <v>2</v>
      </c>
      <c r="G309" s="12">
        <v>5245</v>
      </c>
      <c r="H309" s="12">
        <v>5245</v>
      </c>
      <c r="I309" s="12">
        <v>5245</v>
      </c>
      <c r="K309" s="12">
        <v>16</v>
      </c>
      <c r="L309" t="s">
        <v>464</v>
      </c>
      <c r="M309" t="s">
        <v>521</v>
      </c>
      <c r="N309">
        <v>79</v>
      </c>
      <c r="O309" s="41">
        <f>565+580</f>
        <v>1145</v>
      </c>
      <c r="P309" s="41">
        <f>565+580</f>
        <v>1145</v>
      </c>
      <c r="Q309" s="41">
        <f>565+580</f>
        <v>1145</v>
      </c>
      <c r="R309" s="41" t="s">
        <v>1216</v>
      </c>
      <c r="S309" t="s">
        <v>994</v>
      </c>
      <c r="T309">
        <v>1</v>
      </c>
      <c r="U309">
        <v>1</v>
      </c>
      <c r="V309">
        <v>83</v>
      </c>
      <c r="W309">
        <v>66</v>
      </c>
      <c r="Y309">
        <v>0.86417553088932797</v>
      </c>
      <c r="Z309">
        <v>0.87041978943274012</v>
      </c>
      <c r="AB309">
        <f>H309/[1]Sheet1!$H$97</f>
        <v>2.627862870364198</v>
      </c>
      <c r="AD309" t="e">
        <f t="shared" si="15"/>
        <v>#VALUE!</v>
      </c>
      <c r="AG309">
        <f>K309*Z309</f>
        <v>13.926716630923842</v>
      </c>
    </row>
    <row r="310" spans="1:33" ht="57.75" customHeight="1" x14ac:dyDescent="0.25">
      <c r="A310" s="3" t="s">
        <v>569</v>
      </c>
      <c r="B310" s="3" t="s">
        <v>570</v>
      </c>
      <c r="C310" s="12">
        <v>1870</v>
      </c>
      <c r="D310">
        <v>0</v>
      </c>
      <c r="E310">
        <v>1</v>
      </c>
      <c r="F310" s="12" t="s">
        <v>2</v>
      </c>
      <c r="G310" s="15">
        <v>2671</v>
      </c>
      <c r="H310" s="15">
        <v>2671</v>
      </c>
      <c r="I310" s="15">
        <v>2671</v>
      </c>
      <c r="K310" s="12">
        <v>36</v>
      </c>
      <c r="L310" t="s">
        <v>464</v>
      </c>
      <c r="M310" t="s">
        <v>521</v>
      </c>
      <c r="N310">
        <v>38</v>
      </c>
      <c r="O310" s="41">
        <f>635+697</f>
        <v>1332</v>
      </c>
      <c r="P310" s="41">
        <f>635+697</f>
        <v>1332</v>
      </c>
      <c r="Q310" s="41">
        <f>635+697</f>
        <v>1332</v>
      </c>
      <c r="R310" s="41" t="s">
        <v>1217</v>
      </c>
      <c r="S310" s="7" t="s">
        <v>995</v>
      </c>
      <c r="T310">
        <v>1</v>
      </c>
      <c r="U310">
        <v>1</v>
      </c>
      <c r="V310">
        <v>96</v>
      </c>
      <c r="W310">
        <v>79</v>
      </c>
      <c r="Y310">
        <v>0.44007871172648144</v>
      </c>
      <c r="Z310">
        <v>0.44325858104382249</v>
      </c>
      <c r="AB310">
        <f>H310/[1]Sheet1!$H$97</f>
        <v>1.3382310251177834</v>
      </c>
      <c r="AD310" t="e">
        <f t="shared" si="15"/>
        <v>#VALUE!</v>
      </c>
      <c r="AG310">
        <f>K310*Z310</f>
        <v>15.95730891757761</v>
      </c>
    </row>
    <row r="311" spans="1:33" ht="45" x14ac:dyDescent="0.25">
      <c r="A311" s="3" t="s">
        <v>571</v>
      </c>
      <c r="B311" s="3" t="s">
        <v>572</v>
      </c>
      <c r="C311" s="3" t="s">
        <v>573</v>
      </c>
      <c r="D311">
        <v>1</v>
      </c>
      <c r="E311">
        <v>1</v>
      </c>
      <c r="G311" s="15">
        <v>2401</v>
      </c>
      <c r="H311" s="15" t="s">
        <v>28</v>
      </c>
      <c r="I311" s="15" t="s">
        <v>28</v>
      </c>
      <c r="K311" t="s">
        <v>287</v>
      </c>
      <c r="M311" t="s">
        <v>574</v>
      </c>
      <c r="N311">
        <v>62</v>
      </c>
      <c r="O311" s="41">
        <v>1040</v>
      </c>
      <c r="P311" s="41">
        <v>1040</v>
      </c>
      <c r="Q311" s="41">
        <v>1040</v>
      </c>
      <c r="R311" s="41">
        <v>1040</v>
      </c>
      <c r="S311" t="s">
        <v>996</v>
      </c>
      <c r="V311">
        <v>76</v>
      </c>
      <c r="W311">
        <v>52</v>
      </c>
      <c r="Y311" t="s">
        <v>28</v>
      </c>
      <c r="Z311" t="s">
        <v>28</v>
      </c>
      <c r="AB311" t="e">
        <f t="shared" ref="AB311:AB342" si="18">H311/$H$97</f>
        <v>#VALUE!</v>
      </c>
      <c r="AD311" t="e">
        <f>[2]Sheet1!Y620+Y311</f>
        <v>#VALUE!</v>
      </c>
      <c r="AG311" t="s">
        <v>28</v>
      </c>
    </row>
    <row r="312" spans="1:33" ht="75" x14ac:dyDescent="0.25">
      <c r="A312" s="3" t="s">
        <v>575</v>
      </c>
      <c r="B312" s="3" t="s">
        <v>576</v>
      </c>
      <c r="C312" s="12" t="s">
        <v>577</v>
      </c>
      <c r="D312">
        <v>0</v>
      </c>
      <c r="E312">
        <v>1</v>
      </c>
      <c r="G312" s="15">
        <v>2153</v>
      </c>
      <c r="H312" s="15">
        <v>2153</v>
      </c>
      <c r="I312" s="15">
        <v>2153</v>
      </c>
      <c r="K312">
        <v>49</v>
      </c>
      <c r="L312" t="s">
        <v>464</v>
      </c>
      <c r="M312" t="s">
        <v>574</v>
      </c>
      <c r="N312">
        <v>65</v>
      </c>
      <c r="O312" s="41">
        <f>566+565</f>
        <v>1131</v>
      </c>
      <c r="P312" s="41">
        <f>566+565</f>
        <v>1131</v>
      </c>
      <c r="Q312" s="41">
        <f>566+565</f>
        <v>1131</v>
      </c>
      <c r="R312" s="41" t="s">
        <v>1218</v>
      </c>
      <c r="S312" t="s">
        <v>997</v>
      </c>
      <c r="T312">
        <v>1</v>
      </c>
      <c r="U312">
        <v>1</v>
      </c>
      <c r="V312">
        <v>85</v>
      </c>
      <c r="W312">
        <v>79</v>
      </c>
      <c r="Y312">
        <v>0.35473211020109119</v>
      </c>
      <c r="Z312">
        <v>0.35729529202072252</v>
      </c>
      <c r="AB312">
        <f t="shared" si="18"/>
        <v>1.0765</v>
      </c>
      <c r="AD312" t="e">
        <f t="shared" ref="AD312:AD338" si="19">AD311+Y312</f>
        <v>#VALUE!</v>
      </c>
      <c r="AG312">
        <f>K312*Z312</f>
        <v>17.507469309015402</v>
      </c>
    </row>
    <row r="313" spans="1:33" ht="105" x14ac:dyDescent="0.25">
      <c r="A313" s="3" t="s">
        <v>578</v>
      </c>
      <c r="B313" s="3" t="s">
        <v>579</v>
      </c>
      <c r="C313" s="12" t="s">
        <v>577</v>
      </c>
      <c r="D313">
        <v>0</v>
      </c>
      <c r="E313">
        <v>1</v>
      </c>
      <c r="G313" s="12">
        <v>533</v>
      </c>
      <c r="H313" s="12" t="s">
        <v>28</v>
      </c>
      <c r="I313" s="12" t="s">
        <v>28</v>
      </c>
      <c r="M313" t="s">
        <v>574</v>
      </c>
      <c r="Y313" t="s">
        <v>28</v>
      </c>
      <c r="Z313" t="s">
        <v>28</v>
      </c>
      <c r="AB313" t="e">
        <f t="shared" si="18"/>
        <v>#VALUE!</v>
      </c>
      <c r="AD313" t="e">
        <f t="shared" si="19"/>
        <v>#VALUE!</v>
      </c>
      <c r="AG313" t="s">
        <v>28</v>
      </c>
    </row>
    <row r="314" spans="1:33" ht="75" x14ac:dyDescent="0.25">
      <c r="A314" s="3" t="s">
        <v>580</v>
      </c>
      <c r="B314" s="3" t="s">
        <v>581</v>
      </c>
      <c r="C314" s="3" t="s">
        <v>582</v>
      </c>
      <c r="D314">
        <v>1</v>
      </c>
      <c r="E314">
        <v>1</v>
      </c>
      <c r="G314" s="12">
        <v>223</v>
      </c>
      <c r="H314" s="12" t="s">
        <v>28</v>
      </c>
      <c r="I314" s="12" t="s">
        <v>28</v>
      </c>
      <c r="K314" t="s">
        <v>287</v>
      </c>
      <c r="M314" t="s">
        <v>574</v>
      </c>
      <c r="N314">
        <v>52</v>
      </c>
      <c r="V314">
        <v>82</v>
      </c>
      <c r="Y314" t="s">
        <v>28</v>
      </c>
      <c r="Z314" t="s">
        <v>28</v>
      </c>
      <c r="AB314" t="e">
        <f t="shared" si="18"/>
        <v>#VALUE!</v>
      </c>
      <c r="AD314" t="e">
        <f t="shared" si="19"/>
        <v>#VALUE!</v>
      </c>
      <c r="AG314" t="s">
        <v>28</v>
      </c>
    </row>
    <row r="315" spans="1:33" ht="75" x14ac:dyDescent="0.25">
      <c r="A315" s="3" t="s">
        <v>583</v>
      </c>
      <c r="B315" s="3" t="s">
        <v>584</v>
      </c>
      <c r="C315" s="12" t="s">
        <v>577</v>
      </c>
      <c r="D315">
        <v>0</v>
      </c>
      <c r="E315">
        <v>1</v>
      </c>
      <c r="G315" s="12">
        <v>3500</v>
      </c>
      <c r="H315" s="12">
        <v>3500</v>
      </c>
      <c r="I315" s="12">
        <v>3500</v>
      </c>
      <c r="K315">
        <v>62</v>
      </c>
      <c r="L315" t="s">
        <v>464</v>
      </c>
      <c r="M315" t="s">
        <v>574</v>
      </c>
      <c r="N315">
        <v>30</v>
      </c>
      <c r="O315" s="41">
        <f>635+665</f>
        <v>1300</v>
      </c>
      <c r="P315" s="41">
        <f>635+665</f>
        <v>1300</v>
      </c>
      <c r="Q315" s="41">
        <f>635+665</f>
        <v>1300</v>
      </c>
      <c r="R315" s="41" t="s">
        <v>1219</v>
      </c>
      <c r="S315" t="s">
        <v>998</v>
      </c>
      <c r="T315">
        <v>1</v>
      </c>
      <c r="U315">
        <v>1</v>
      </c>
      <c r="V315">
        <v>93</v>
      </c>
      <c r="W315">
        <v>89</v>
      </c>
      <c r="Y315">
        <v>0.57666622652290711</v>
      </c>
      <c r="Z315">
        <v>0.58083303393986474</v>
      </c>
      <c r="AB315">
        <f t="shared" si="18"/>
        <v>1.75</v>
      </c>
      <c r="AD315" t="e">
        <f t="shared" si="19"/>
        <v>#VALUE!</v>
      </c>
      <c r="AG315">
        <f>K315*Z315</f>
        <v>36.011648104271615</v>
      </c>
    </row>
    <row r="316" spans="1:33" ht="90" x14ac:dyDescent="0.25">
      <c r="A316" s="3" t="s">
        <v>585</v>
      </c>
      <c r="B316" s="3" t="s">
        <v>586</v>
      </c>
      <c r="C316" s="3" t="s">
        <v>587</v>
      </c>
      <c r="D316">
        <v>1</v>
      </c>
      <c r="E316">
        <v>1</v>
      </c>
      <c r="G316" s="15">
        <v>3457</v>
      </c>
      <c r="H316" s="15">
        <v>3457</v>
      </c>
      <c r="I316" s="15" t="s">
        <v>28</v>
      </c>
      <c r="K316">
        <v>24</v>
      </c>
      <c r="L316" t="s">
        <v>464</v>
      </c>
      <c r="M316" t="s">
        <v>574</v>
      </c>
      <c r="N316">
        <v>74</v>
      </c>
      <c r="O316" s="41">
        <f>430+435</f>
        <v>865</v>
      </c>
      <c r="P316" s="41">
        <f>430+435</f>
        <v>865</v>
      </c>
      <c r="Q316" s="41">
        <f>430+435</f>
        <v>865</v>
      </c>
      <c r="R316" s="41" t="s">
        <v>1220</v>
      </c>
      <c r="S316" t="s">
        <v>999</v>
      </c>
      <c r="T316">
        <v>1</v>
      </c>
      <c r="U316" t="s">
        <v>28</v>
      </c>
      <c r="V316">
        <v>77</v>
      </c>
      <c r="Y316">
        <v>0.56958147002562576</v>
      </c>
      <c r="Z316" t="s">
        <v>28</v>
      </c>
      <c r="AB316">
        <f t="shared" si="18"/>
        <v>1.7284999999999999</v>
      </c>
      <c r="AD316" t="e">
        <f t="shared" si="19"/>
        <v>#VALUE!</v>
      </c>
      <c r="AG316" t="s">
        <v>28</v>
      </c>
    </row>
    <row r="317" spans="1:33" ht="60" x14ac:dyDescent="0.25">
      <c r="A317" s="3" t="s">
        <v>588</v>
      </c>
      <c r="B317" s="3" t="s">
        <v>589</v>
      </c>
      <c r="C317" s="3" t="s">
        <v>590</v>
      </c>
      <c r="D317">
        <v>1</v>
      </c>
      <c r="E317">
        <v>1</v>
      </c>
      <c r="G317" s="15">
        <v>1127</v>
      </c>
      <c r="H317" s="15">
        <v>1127</v>
      </c>
      <c r="I317" s="15">
        <v>1127</v>
      </c>
      <c r="K317">
        <v>57</v>
      </c>
      <c r="L317" t="s">
        <v>464</v>
      </c>
      <c r="M317" t="s">
        <v>574</v>
      </c>
      <c r="N317">
        <v>68</v>
      </c>
      <c r="O317" s="41">
        <f>493+480</f>
        <v>973</v>
      </c>
      <c r="P317" s="41">
        <f>493+480</f>
        <v>973</v>
      </c>
      <c r="Q317" s="41">
        <f>493+480</f>
        <v>973</v>
      </c>
      <c r="R317" s="41" t="s">
        <v>1221</v>
      </c>
      <c r="S317" t="s">
        <v>1000</v>
      </c>
      <c r="T317">
        <v>1</v>
      </c>
      <c r="U317">
        <v>1</v>
      </c>
      <c r="V317">
        <v>75</v>
      </c>
      <c r="W317">
        <v>64</v>
      </c>
      <c r="Y317">
        <v>0.1856865249403761</v>
      </c>
      <c r="Z317">
        <v>0.18702823692863643</v>
      </c>
      <c r="AB317">
        <f t="shared" si="18"/>
        <v>0.5635</v>
      </c>
      <c r="AD317" t="e">
        <f t="shared" si="19"/>
        <v>#VALUE!</v>
      </c>
      <c r="AG317">
        <f>K317*Z317</f>
        <v>10.660609504932276</v>
      </c>
    </row>
    <row r="318" spans="1:33" ht="75" x14ac:dyDescent="0.25">
      <c r="A318" s="3" t="s">
        <v>591</v>
      </c>
      <c r="B318" s="3" t="s">
        <v>592</v>
      </c>
      <c r="C318" s="3" t="s">
        <v>593</v>
      </c>
      <c r="D318">
        <v>1</v>
      </c>
      <c r="E318">
        <v>1</v>
      </c>
      <c r="G318" s="15">
        <v>2294</v>
      </c>
      <c r="H318" s="15">
        <v>2294</v>
      </c>
      <c r="I318" s="15">
        <v>2294</v>
      </c>
      <c r="K318">
        <v>23</v>
      </c>
      <c r="L318" t="s">
        <v>464</v>
      </c>
      <c r="M318" t="s">
        <v>574</v>
      </c>
      <c r="N318">
        <v>95</v>
      </c>
      <c r="O318" s="41">
        <f>489+477</f>
        <v>966</v>
      </c>
      <c r="P318" s="41">
        <f>489+477</f>
        <v>966</v>
      </c>
      <c r="Q318" s="41">
        <f>489+477</f>
        <v>966</v>
      </c>
      <c r="R318" s="41" t="s">
        <v>1222</v>
      </c>
      <c r="S318" t="s">
        <v>1001</v>
      </c>
      <c r="T318">
        <v>1</v>
      </c>
      <c r="U318">
        <v>1</v>
      </c>
      <c r="V318">
        <v>78</v>
      </c>
      <c r="W318">
        <v>60</v>
      </c>
      <c r="Y318">
        <v>0.37796352104101399</v>
      </c>
      <c r="Z318">
        <v>0.3806945656737285</v>
      </c>
      <c r="AB318">
        <f t="shared" si="18"/>
        <v>1.147</v>
      </c>
      <c r="AD318" t="e">
        <f t="shared" si="19"/>
        <v>#VALUE!</v>
      </c>
      <c r="AG318">
        <f>K318*Z318</f>
        <v>8.7559750104957548</v>
      </c>
    </row>
    <row r="319" spans="1:33" ht="45" x14ac:dyDescent="0.25">
      <c r="A319" s="3" t="s">
        <v>594</v>
      </c>
      <c r="B319" s="3" t="s">
        <v>595</v>
      </c>
      <c r="C319" s="12" t="s">
        <v>577</v>
      </c>
      <c r="D319">
        <v>0</v>
      </c>
      <c r="E319">
        <v>1</v>
      </c>
      <c r="G319" s="15">
        <v>1885</v>
      </c>
      <c r="H319" s="15" t="s">
        <v>28</v>
      </c>
      <c r="I319" s="15" t="s">
        <v>28</v>
      </c>
      <c r="K319" t="s">
        <v>287</v>
      </c>
      <c r="M319" t="s">
        <v>574</v>
      </c>
      <c r="N319">
        <v>59</v>
      </c>
      <c r="O319" s="41">
        <f>485+470</f>
        <v>955</v>
      </c>
      <c r="P319" s="41">
        <f>485+470</f>
        <v>955</v>
      </c>
      <c r="Q319" s="41">
        <f>485+470</f>
        <v>955</v>
      </c>
      <c r="R319" s="41" t="s">
        <v>1223</v>
      </c>
      <c r="S319" t="s">
        <v>1002</v>
      </c>
      <c r="V319">
        <v>69</v>
      </c>
      <c r="Y319" t="s">
        <v>28</v>
      </c>
      <c r="Z319" t="s">
        <v>28</v>
      </c>
      <c r="AB319" t="e">
        <f t="shared" si="18"/>
        <v>#VALUE!</v>
      </c>
      <c r="AD319" t="e">
        <f t="shared" si="19"/>
        <v>#VALUE!</v>
      </c>
      <c r="AG319" t="s">
        <v>28</v>
      </c>
    </row>
    <row r="320" spans="1:33" ht="75" x14ac:dyDescent="0.25">
      <c r="A320" s="3" t="s">
        <v>596</v>
      </c>
      <c r="B320" s="3" t="s">
        <v>597</v>
      </c>
      <c r="C320" s="3" t="s">
        <v>577</v>
      </c>
      <c r="D320">
        <v>0</v>
      </c>
      <c r="E320">
        <v>1</v>
      </c>
      <c r="G320" s="12">
        <v>1462</v>
      </c>
      <c r="H320" s="12" t="s">
        <v>28</v>
      </c>
      <c r="I320" s="12" t="s">
        <v>28</v>
      </c>
      <c r="M320" t="s">
        <v>574</v>
      </c>
      <c r="Y320" t="s">
        <v>28</v>
      </c>
      <c r="Z320" t="s">
        <v>28</v>
      </c>
      <c r="AB320" t="e">
        <f t="shared" si="18"/>
        <v>#VALUE!</v>
      </c>
      <c r="AD320" t="e">
        <f t="shared" si="19"/>
        <v>#VALUE!</v>
      </c>
      <c r="AG320" t="s">
        <v>28</v>
      </c>
    </row>
    <row r="321" spans="1:33" ht="75" x14ac:dyDescent="0.25">
      <c r="A321" s="3" t="s">
        <v>598</v>
      </c>
      <c r="B321" s="3" t="s">
        <v>592</v>
      </c>
      <c r="C321" s="12" t="s">
        <v>577</v>
      </c>
      <c r="D321">
        <v>0</v>
      </c>
      <c r="E321">
        <v>1</v>
      </c>
      <c r="G321" s="15">
        <v>2266</v>
      </c>
      <c r="H321" s="15">
        <v>2266</v>
      </c>
      <c r="I321" s="15">
        <v>2266</v>
      </c>
      <c r="K321">
        <v>53</v>
      </c>
      <c r="L321" t="s">
        <v>464</v>
      </c>
      <c r="M321" t="s">
        <v>574</v>
      </c>
      <c r="N321">
        <v>61</v>
      </c>
      <c r="O321" s="41">
        <f>535+515</f>
        <v>1050</v>
      </c>
      <c r="P321" s="41">
        <f>535+515</f>
        <v>1050</v>
      </c>
      <c r="Q321" s="41">
        <f>535+515</f>
        <v>1050</v>
      </c>
      <c r="R321" s="41" t="s">
        <v>1224</v>
      </c>
      <c r="S321" t="s">
        <v>1003</v>
      </c>
      <c r="T321">
        <v>1</v>
      </c>
      <c r="U321">
        <v>1</v>
      </c>
      <c r="V321">
        <v>77</v>
      </c>
      <c r="W321">
        <v>56</v>
      </c>
      <c r="Y321">
        <v>0.37335019122883073</v>
      </c>
      <c r="Z321">
        <v>0.37604790140220956</v>
      </c>
      <c r="AB321">
        <f t="shared" si="18"/>
        <v>1.133</v>
      </c>
      <c r="AD321" t="e">
        <f t="shared" si="19"/>
        <v>#VALUE!</v>
      </c>
      <c r="AG321">
        <f>K321*Z321</f>
        <v>19.930538774317107</v>
      </c>
    </row>
    <row r="322" spans="1:33" ht="75" x14ac:dyDescent="0.25">
      <c r="A322" s="3" t="s">
        <v>599</v>
      </c>
      <c r="B322" s="3" t="s">
        <v>600</v>
      </c>
      <c r="C322" s="12" t="s">
        <v>577</v>
      </c>
      <c r="D322">
        <v>0</v>
      </c>
      <c r="E322">
        <v>1</v>
      </c>
      <c r="G322" s="15">
        <v>2241</v>
      </c>
      <c r="H322" s="15">
        <v>2241</v>
      </c>
      <c r="I322" s="15">
        <v>2241</v>
      </c>
      <c r="K322">
        <v>15</v>
      </c>
      <c r="L322" t="s">
        <v>464</v>
      </c>
      <c r="M322" t="s">
        <v>574</v>
      </c>
      <c r="N322">
        <v>68</v>
      </c>
      <c r="O322" s="41">
        <f>490+500</f>
        <v>990</v>
      </c>
      <c r="P322" s="41">
        <f>490+500</f>
        <v>990</v>
      </c>
      <c r="Q322" s="41">
        <f>490+500</f>
        <v>990</v>
      </c>
      <c r="R322" s="41" t="s">
        <v>1206</v>
      </c>
      <c r="S322" t="s">
        <v>1004</v>
      </c>
      <c r="T322">
        <v>1</v>
      </c>
      <c r="U322">
        <v>1</v>
      </c>
      <c r="V322">
        <v>72</v>
      </c>
      <c r="W322">
        <v>58</v>
      </c>
      <c r="Y322">
        <v>0.36923114675366714</v>
      </c>
      <c r="Z322">
        <v>0.37189909401692484</v>
      </c>
      <c r="AB322">
        <f t="shared" si="18"/>
        <v>1.1205000000000001</v>
      </c>
      <c r="AD322" t="e">
        <f t="shared" si="19"/>
        <v>#VALUE!</v>
      </c>
      <c r="AG322">
        <f>K322*Z322</f>
        <v>5.5784864102538725</v>
      </c>
    </row>
    <row r="323" spans="1:33" ht="75" x14ac:dyDescent="0.25">
      <c r="A323" s="3" t="s">
        <v>601</v>
      </c>
      <c r="B323" s="3" t="s">
        <v>602</v>
      </c>
      <c r="C323" s="12" t="s">
        <v>587</v>
      </c>
      <c r="D323">
        <v>1</v>
      </c>
      <c r="E323">
        <v>1</v>
      </c>
      <c r="G323" s="15">
        <v>3199</v>
      </c>
      <c r="H323" s="15" t="s">
        <v>28</v>
      </c>
      <c r="I323" s="15" t="s">
        <v>28</v>
      </c>
      <c r="K323" t="s">
        <v>287</v>
      </c>
      <c r="M323" t="s">
        <v>574</v>
      </c>
      <c r="N323">
        <v>76</v>
      </c>
      <c r="V323">
        <v>84</v>
      </c>
      <c r="W323">
        <v>70</v>
      </c>
      <c r="Y323" t="s">
        <v>28</v>
      </c>
      <c r="Z323" t="s">
        <v>28</v>
      </c>
      <c r="AB323" t="e">
        <f t="shared" si="18"/>
        <v>#VALUE!</v>
      </c>
      <c r="AD323" t="e">
        <f t="shared" si="19"/>
        <v>#VALUE!</v>
      </c>
      <c r="AG323" t="s">
        <v>28</v>
      </c>
    </row>
    <row r="324" spans="1:33" ht="60" x14ac:dyDescent="0.25">
      <c r="A324" s="3" t="s">
        <v>603</v>
      </c>
      <c r="B324" s="3" t="s">
        <v>604</v>
      </c>
      <c r="C324" s="12" t="s">
        <v>577</v>
      </c>
      <c r="D324">
        <v>0</v>
      </c>
      <c r="E324">
        <v>1</v>
      </c>
      <c r="G324" s="15">
        <v>2414</v>
      </c>
      <c r="H324" s="15">
        <v>2414</v>
      </c>
      <c r="I324" s="15">
        <v>2414</v>
      </c>
      <c r="K324">
        <v>42</v>
      </c>
      <c r="L324" t="s">
        <v>605</v>
      </c>
      <c r="M324" t="s">
        <v>574</v>
      </c>
      <c r="N324">
        <v>45</v>
      </c>
      <c r="O324" s="41">
        <v>1290</v>
      </c>
      <c r="P324" s="41">
        <v>1290</v>
      </c>
      <c r="Q324" s="41">
        <v>1290</v>
      </c>
      <c r="R324" s="41">
        <v>1290</v>
      </c>
      <c r="S324" t="s">
        <v>1005</v>
      </c>
      <c r="T324">
        <v>1</v>
      </c>
      <c r="U324">
        <v>1</v>
      </c>
      <c r="V324">
        <v>90</v>
      </c>
      <c r="W324">
        <v>84</v>
      </c>
      <c r="Y324">
        <v>0.39773493452179937</v>
      </c>
      <c r="Z324">
        <v>0.40060884112309525</v>
      </c>
      <c r="AB324">
        <f t="shared" si="18"/>
        <v>1.2070000000000001</v>
      </c>
      <c r="AD324" t="e">
        <f t="shared" si="19"/>
        <v>#VALUE!</v>
      </c>
      <c r="AG324">
        <f>K324*Z324</f>
        <v>16.82557132717</v>
      </c>
    </row>
    <row r="325" spans="1:33" ht="75" x14ac:dyDescent="0.25">
      <c r="A325" s="3" t="s">
        <v>606</v>
      </c>
      <c r="B325" s="3" t="s">
        <v>607</v>
      </c>
      <c r="C325" s="3" t="s">
        <v>608</v>
      </c>
      <c r="D325">
        <v>1</v>
      </c>
      <c r="E325">
        <v>1</v>
      </c>
      <c r="G325" s="15">
        <v>2417</v>
      </c>
      <c r="H325" s="15">
        <v>2417</v>
      </c>
      <c r="I325" s="15">
        <v>2417</v>
      </c>
      <c r="K325">
        <v>38</v>
      </c>
      <c r="L325" t="s">
        <v>464</v>
      </c>
      <c r="M325" t="s">
        <v>574</v>
      </c>
      <c r="N325">
        <v>70</v>
      </c>
      <c r="O325" s="41">
        <f>555+560</f>
        <v>1115</v>
      </c>
      <c r="P325" s="41">
        <f>555+560</f>
        <v>1115</v>
      </c>
      <c r="Q325" s="41">
        <f>555+560</f>
        <v>1115</v>
      </c>
      <c r="R325" s="41" t="s">
        <v>1225</v>
      </c>
      <c r="S325" t="s">
        <v>1006</v>
      </c>
      <c r="T325">
        <v>1</v>
      </c>
      <c r="U325">
        <v>1</v>
      </c>
      <c r="V325">
        <v>79</v>
      </c>
      <c r="W325">
        <v>69</v>
      </c>
      <c r="Y325">
        <v>0.39822921985881904</v>
      </c>
      <c r="Z325">
        <v>0.40110669800932947</v>
      </c>
      <c r="AB325">
        <f t="shared" si="18"/>
        <v>1.2084999999999999</v>
      </c>
      <c r="AD325" t="e">
        <f t="shared" si="19"/>
        <v>#VALUE!</v>
      </c>
      <c r="AG325">
        <f>K325*Z325</f>
        <v>15.24205452435452</v>
      </c>
    </row>
    <row r="326" spans="1:33" ht="75" x14ac:dyDescent="0.25">
      <c r="A326" s="3" t="s">
        <v>609</v>
      </c>
      <c r="B326" s="3" t="s">
        <v>610</v>
      </c>
      <c r="C326" s="12" t="s">
        <v>577</v>
      </c>
      <c r="D326">
        <v>0</v>
      </c>
      <c r="E326">
        <v>1</v>
      </c>
      <c r="G326" s="15">
        <v>2335</v>
      </c>
      <c r="H326" s="15">
        <v>2335</v>
      </c>
      <c r="I326" s="15">
        <v>2335</v>
      </c>
      <c r="K326">
        <v>35</v>
      </c>
      <c r="L326" t="s">
        <v>605</v>
      </c>
      <c r="M326" t="s">
        <v>574</v>
      </c>
      <c r="N326">
        <v>36</v>
      </c>
      <c r="O326" s="41">
        <f>625+680</f>
        <v>1305</v>
      </c>
      <c r="P326" s="41">
        <f>625+680</f>
        <v>1305</v>
      </c>
      <c r="Q326" s="41">
        <f>625+680</f>
        <v>1305</v>
      </c>
      <c r="R326" s="41" t="s">
        <v>1226</v>
      </c>
      <c r="S326" t="s">
        <v>1007</v>
      </c>
      <c r="T326">
        <v>1</v>
      </c>
      <c r="U326">
        <v>1</v>
      </c>
      <c r="V326">
        <v>91</v>
      </c>
      <c r="W326">
        <v>87</v>
      </c>
      <c r="Y326">
        <v>0.38471875398028232</v>
      </c>
      <c r="Z326">
        <v>0.38749860978559547</v>
      </c>
      <c r="AB326">
        <f t="shared" si="18"/>
        <v>1.1675</v>
      </c>
      <c r="AD326" t="e">
        <f t="shared" si="19"/>
        <v>#VALUE!</v>
      </c>
      <c r="AG326">
        <f>K326*Z326</f>
        <v>13.562451342495841</v>
      </c>
    </row>
    <row r="327" spans="1:33" ht="105" x14ac:dyDescent="0.25">
      <c r="A327" s="3" t="s">
        <v>611</v>
      </c>
      <c r="B327" s="3" t="s">
        <v>612</v>
      </c>
      <c r="C327" s="3" t="s">
        <v>613</v>
      </c>
      <c r="D327">
        <v>1</v>
      </c>
      <c r="E327">
        <v>1</v>
      </c>
      <c r="G327" s="15">
        <v>2071</v>
      </c>
      <c r="H327" s="15">
        <v>2071</v>
      </c>
      <c r="I327" s="15">
        <v>2071</v>
      </c>
      <c r="K327">
        <v>32</v>
      </c>
      <c r="L327" t="s">
        <v>464</v>
      </c>
      <c r="M327" t="s">
        <v>574</v>
      </c>
      <c r="N327">
        <v>69</v>
      </c>
      <c r="O327" s="41">
        <f>520+520</f>
        <v>1040</v>
      </c>
      <c r="P327" s="41">
        <f>520+520</f>
        <v>1040</v>
      </c>
      <c r="Q327" s="41">
        <f>520+520</f>
        <v>1040</v>
      </c>
      <c r="R327" s="41" t="s">
        <v>1227</v>
      </c>
      <c r="S327" t="s">
        <v>1008</v>
      </c>
      <c r="T327">
        <v>1</v>
      </c>
      <c r="U327">
        <v>1</v>
      </c>
      <c r="V327">
        <v>76</v>
      </c>
      <c r="W327">
        <v>53</v>
      </c>
      <c r="Y327">
        <v>0.34122164432255447</v>
      </c>
      <c r="Z327">
        <v>0.34368720379698853</v>
      </c>
      <c r="AB327">
        <f t="shared" si="18"/>
        <v>1.0355000000000001</v>
      </c>
      <c r="AD327" t="e">
        <f t="shared" si="19"/>
        <v>#VALUE!</v>
      </c>
      <c r="AG327">
        <f>K327*Z327</f>
        <v>10.997990521503633</v>
      </c>
    </row>
    <row r="328" spans="1:33" ht="90" x14ac:dyDescent="0.25">
      <c r="A328" s="3" t="s">
        <v>614</v>
      </c>
      <c r="B328" s="3" t="s">
        <v>615</v>
      </c>
      <c r="C328" s="3" t="s">
        <v>616</v>
      </c>
      <c r="D328">
        <v>1</v>
      </c>
      <c r="E328">
        <v>1</v>
      </c>
      <c r="G328" s="15">
        <v>2485</v>
      </c>
      <c r="H328" s="15">
        <v>2485</v>
      </c>
      <c r="I328" s="15">
        <v>2485</v>
      </c>
      <c r="K328">
        <v>44</v>
      </c>
      <c r="L328" t="s">
        <v>605</v>
      </c>
      <c r="M328" t="s">
        <v>574</v>
      </c>
      <c r="N328">
        <v>42</v>
      </c>
      <c r="O328" s="41">
        <f>645+640</f>
        <v>1285</v>
      </c>
      <c r="P328" s="41">
        <f>645+640</f>
        <v>1285</v>
      </c>
      <c r="Q328" s="41">
        <f>645+640</f>
        <v>1285</v>
      </c>
      <c r="R328" s="41" t="s">
        <v>1228</v>
      </c>
      <c r="S328" t="s">
        <v>1009</v>
      </c>
      <c r="T328">
        <v>1</v>
      </c>
      <c r="U328">
        <v>1</v>
      </c>
      <c r="V328">
        <v>89</v>
      </c>
      <c r="W328">
        <v>84</v>
      </c>
      <c r="Y328">
        <v>0.40943302083126409</v>
      </c>
      <c r="Z328">
        <v>0.41239145409730393</v>
      </c>
      <c r="AB328">
        <f t="shared" si="18"/>
        <v>1.2424999999999999</v>
      </c>
      <c r="AD328" t="e">
        <f t="shared" si="19"/>
        <v>#VALUE!</v>
      </c>
      <c r="AG328">
        <f>K328*Z328</f>
        <v>18.145223980281372</v>
      </c>
    </row>
    <row r="329" spans="1:33" ht="75" x14ac:dyDescent="0.25">
      <c r="A329" s="3" t="s">
        <v>617</v>
      </c>
      <c r="B329" s="3" t="s">
        <v>618</v>
      </c>
      <c r="C329" s="3" t="s">
        <v>619</v>
      </c>
      <c r="D329">
        <v>1</v>
      </c>
      <c r="E329">
        <v>1</v>
      </c>
      <c r="G329" s="15">
        <v>2499</v>
      </c>
      <c r="H329" s="15" t="s">
        <v>28</v>
      </c>
      <c r="I329" s="15" t="s">
        <v>28</v>
      </c>
      <c r="K329" t="s">
        <v>287</v>
      </c>
      <c r="M329" t="s">
        <v>574</v>
      </c>
      <c r="N329">
        <v>81</v>
      </c>
      <c r="V329">
        <v>91</v>
      </c>
      <c r="W329">
        <v>78</v>
      </c>
      <c r="Y329" t="s">
        <v>28</v>
      </c>
      <c r="Z329" t="s">
        <v>28</v>
      </c>
      <c r="AB329" t="e">
        <f t="shared" si="18"/>
        <v>#VALUE!</v>
      </c>
      <c r="AD329" t="e">
        <f t="shared" si="19"/>
        <v>#VALUE!</v>
      </c>
      <c r="AG329" t="s">
        <v>28</v>
      </c>
    </row>
    <row r="330" spans="1:33" ht="120" x14ac:dyDescent="0.25">
      <c r="A330" s="3" t="s">
        <v>620</v>
      </c>
      <c r="B330" s="3" t="s">
        <v>621</v>
      </c>
      <c r="C330" s="12" t="s">
        <v>587</v>
      </c>
      <c r="D330">
        <v>1</v>
      </c>
      <c r="E330">
        <v>1</v>
      </c>
      <c r="G330" s="15">
        <v>2619</v>
      </c>
      <c r="H330" s="15">
        <v>2619</v>
      </c>
      <c r="I330" s="15">
        <v>2619</v>
      </c>
      <c r="K330">
        <v>48</v>
      </c>
      <c r="L330" t="s">
        <v>464</v>
      </c>
      <c r="M330" t="s">
        <v>574</v>
      </c>
      <c r="N330">
        <v>66</v>
      </c>
      <c r="O330" s="41">
        <f>465+455</f>
        <v>920</v>
      </c>
      <c r="P330" s="41">
        <f>465+455</f>
        <v>920</v>
      </c>
      <c r="Q330" s="41">
        <f>465+455</f>
        <v>920</v>
      </c>
      <c r="R330" s="41" t="s">
        <v>1229</v>
      </c>
      <c r="S330" t="s">
        <v>1010</v>
      </c>
      <c r="T330">
        <v>1</v>
      </c>
      <c r="U330">
        <v>1</v>
      </c>
      <c r="V330">
        <v>73</v>
      </c>
      <c r="W330">
        <v>52</v>
      </c>
      <c r="Y330">
        <v>0.43151109921814107</v>
      </c>
      <c r="Z330">
        <v>0.43462906168243021</v>
      </c>
      <c r="AB330">
        <f t="shared" si="18"/>
        <v>1.3095000000000001</v>
      </c>
      <c r="AD330" t="e">
        <f t="shared" si="19"/>
        <v>#VALUE!</v>
      </c>
      <c r="AG330">
        <f>K330*Z330</f>
        <v>20.86219496075665</v>
      </c>
    </row>
    <row r="331" spans="1:33" ht="120" x14ac:dyDescent="0.25">
      <c r="A331" s="3" t="s">
        <v>622</v>
      </c>
      <c r="B331" s="3" t="s">
        <v>623</v>
      </c>
      <c r="C331" s="12" t="s">
        <v>577</v>
      </c>
      <c r="D331">
        <v>0</v>
      </c>
      <c r="E331">
        <v>1</v>
      </c>
      <c r="G331" s="12">
        <v>348</v>
      </c>
      <c r="H331" s="12" t="s">
        <v>28</v>
      </c>
      <c r="I331" s="12" t="s">
        <v>28</v>
      </c>
      <c r="M331" t="s">
        <v>574</v>
      </c>
      <c r="N331">
        <v>47</v>
      </c>
      <c r="Y331" t="s">
        <v>28</v>
      </c>
      <c r="Z331" t="s">
        <v>28</v>
      </c>
      <c r="AB331" t="e">
        <f t="shared" si="18"/>
        <v>#VALUE!</v>
      </c>
      <c r="AD331" t="e">
        <f t="shared" si="19"/>
        <v>#VALUE!</v>
      </c>
      <c r="AG331" t="s">
        <v>28</v>
      </c>
    </row>
    <row r="332" spans="1:33" ht="105" x14ac:dyDescent="0.25">
      <c r="A332" s="3" t="s">
        <v>624</v>
      </c>
      <c r="B332" s="3" t="s">
        <v>579</v>
      </c>
      <c r="C332" s="12" t="s">
        <v>577</v>
      </c>
      <c r="D332">
        <v>0</v>
      </c>
      <c r="E332">
        <v>1</v>
      </c>
      <c r="G332" s="15">
        <v>1177</v>
      </c>
      <c r="H332" s="15">
        <v>1177</v>
      </c>
      <c r="I332" s="15">
        <v>1177</v>
      </c>
      <c r="K332">
        <v>21</v>
      </c>
      <c r="L332" t="s">
        <v>625</v>
      </c>
      <c r="M332" t="s">
        <v>574</v>
      </c>
      <c r="N332">
        <v>23</v>
      </c>
      <c r="O332" s="41">
        <f>710+715</f>
        <v>1425</v>
      </c>
      <c r="P332" s="41">
        <f>710+715</f>
        <v>1425</v>
      </c>
      <c r="Q332" s="41">
        <f>710+715</f>
        <v>1425</v>
      </c>
      <c r="R332" s="41" t="s">
        <v>1230</v>
      </c>
      <c r="S332" t="s">
        <v>1011</v>
      </c>
      <c r="T332">
        <v>1</v>
      </c>
      <c r="U332">
        <v>1</v>
      </c>
      <c r="V332">
        <v>97</v>
      </c>
      <c r="W332">
        <v>94</v>
      </c>
      <c r="Y332">
        <v>0.19392461389070334</v>
      </c>
      <c r="Z332">
        <v>0.19532585169920594</v>
      </c>
      <c r="AB332">
        <f t="shared" si="18"/>
        <v>0.58850000000000002</v>
      </c>
      <c r="AD332" t="e">
        <f t="shared" si="19"/>
        <v>#VALUE!</v>
      </c>
      <c r="AG332">
        <f t="shared" ref="AG332:AG339" si="20">K332*Z332</f>
        <v>4.1018428856833244</v>
      </c>
    </row>
    <row r="333" spans="1:33" ht="75" x14ac:dyDescent="0.25">
      <c r="A333" s="3" t="s">
        <v>626</v>
      </c>
      <c r="B333" s="3" t="s">
        <v>627</v>
      </c>
      <c r="C333" s="12" t="s">
        <v>608</v>
      </c>
      <c r="D333">
        <v>1</v>
      </c>
      <c r="E333">
        <v>1</v>
      </c>
      <c r="G333" s="15">
        <v>1628</v>
      </c>
      <c r="H333" s="15">
        <v>1628</v>
      </c>
      <c r="I333" s="15">
        <v>1628</v>
      </c>
      <c r="K333">
        <v>57</v>
      </c>
      <c r="L333" t="s">
        <v>605</v>
      </c>
      <c r="M333" t="s">
        <v>574</v>
      </c>
      <c r="N333">
        <v>74</v>
      </c>
      <c r="O333">
        <v>1131</v>
      </c>
      <c r="P333">
        <v>1131</v>
      </c>
      <c r="Q333">
        <v>1131</v>
      </c>
      <c r="R333">
        <v>1131</v>
      </c>
      <c r="S333" t="s">
        <v>1012</v>
      </c>
      <c r="T333">
        <v>1</v>
      </c>
      <c r="U333">
        <v>1</v>
      </c>
      <c r="V333">
        <v>88</v>
      </c>
      <c r="W333">
        <v>78</v>
      </c>
      <c r="Y333">
        <v>0.26823217622265511</v>
      </c>
      <c r="Z333">
        <v>0.27017033692974279</v>
      </c>
      <c r="AB333">
        <f t="shared" si="18"/>
        <v>0.81399999999999995</v>
      </c>
      <c r="AD333" t="e">
        <f t="shared" si="19"/>
        <v>#VALUE!</v>
      </c>
      <c r="AG333">
        <f t="shared" si="20"/>
        <v>15.399709204995339</v>
      </c>
    </row>
    <row r="334" spans="1:33" ht="90" x14ac:dyDescent="0.25">
      <c r="A334" s="3" t="s">
        <v>628</v>
      </c>
      <c r="B334" s="3" t="s">
        <v>629</v>
      </c>
      <c r="C334" s="12" t="s">
        <v>577</v>
      </c>
      <c r="D334">
        <v>0</v>
      </c>
      <c r="E334">
        <v>1</v>
      </c>
      <c r="G334" s="15">
        <v>1759</v>
      </c>
      <c r="H334" s="15">
        <v>1759</v>
      </c>
      <c r="I334" s="15">
        <v>1759</v>
      </c>
      <c r="K334">
        <v>42</v>
      </c>
      <c r="L334" t="s">
        <v>464</v>
      </c>
      <c r="M334" t="s">
        <v>574</v>
      </c>
      <c r="N334">
        <v>72</v>
      </c>
      <c r="O334" s="41">
        <f>455+450</f>
        <v>905</v>
      </c>
      <c r="P334" s="41">
        <f>455+450</f>
        <v>905</v>
      </c>
      <c r="Q334" s="41">
        <f>455+450</f>
        <v>905</v>
      </c>
      <c r="R334" s="41" t="s">
        <v>1231</v>
      </c>
      <c r="S334" t="s">
        <v>1013</v>
      </c>
      <c r="T334">
        <v>1</v>
      </c>
      <c r="U334">
        <v>1</v>
      </c>
      <c r="V334">
        <v>63</v>
      </c>
      <c r="W334">
        <v>41</v>
      </c>
      <c r="Y334">
        <v>0.28981596927251246</v>
      </c>
      <c r="Z334">
        <v>0.29191008762863485</v>
      </c>
      <c r="AB334">
        <f t="shared" si="18"/>
        <v>0.87949999999999995</v>
      </c>
      <c r="AD334" t="e">
        <f t="shared" si="19"/>
        <v>#VALUE!</v>
      </c>
      <c r="AG334">
        <f t="shared" si="20"/>
        <v>12.260223680402664</v>
      </c>
    </row>
    <row r="335" spans="1:33" ht="60" x14ac:dyDescent="0.25">
      <c r="A335" s="3" t="s">
        <v>630</v>
      </c>
      <c r="B335" s="3" t="s">
        <v>631</v>
      </c>
      <c r="C335" s="12" t="s">
        <v>587</v>
      </c>
      <c r="D335">
        <v>1</v>
      </c>
      <c r="E335">
        <v>1</v>
      </c>
      <c r="G335" s="15">
        <v>2725</v>
      </c>
      <c r="H335" s="15">
        <v>2725</v>
      </c>
      <c r="I335" s="15">
        <v>2725</v>
      </c>
      <c r="K335">
        <v>58</v>
      </c>
      <c r="L335" t="s">
        <v>464</v>
      </c>
      <c r="M335" t="s">
        <v>574</v>
      </c>
      <c r="N335">
        <v>72</v>
      </c>
      <c r="O335">
        <f>1593-12.418*N335+0.065*N335*N335</f>
        <v>1035.864</v>
      </c>
      <c r="P335">
        <f>1451-5.739*N335</f>
        <v>1037.7919999999999</v>
      </c>
      <c r="T335" t="s">
        <v>28</v>
      </c>
      <c r="U335" t="s">
        <v>28</v>
      </c>
      <c r="V335">
        <v>75</v>
      </c>
      <c r="W335">
        <v>62</v>
      </c>
      <c r="Y335">
        <v>0.44897584779283484</v>
      </c>
      <c r="Z335">
        <v>0.45222000499603754</v>
      </c>
      <c r="AB335">
        <f t="shared" si="18"/>
        <v>1.3625</v>
      </c>
      <c r="AD335" t="e">
        <f t="shared" si="19"/>
        <v>#VALUE!</v>
      </c>
      <c r="AG335">
        <f t="shared" si="20"/>
        <v>26.228760289770179</v>
      </c>
    </row>
    <row r="336" spans="1:33" ht="105" x14ac:dyDescent="0.25">
      <c r="A336" s="3" t="s">
        <v>632</v>
      </c>
      <c r="B336" s="3" t="s">
        <v>633</v>
      </c>
      <c r="C336" s="12" t="s">
        <v>587</v>
      </c>
      <c r="D336">
        <v>1</v>
      </c>
      <c r="E336">
        <v>1</v>
      </c>
      <c r="G336" s="15">
        <v>1416</v>
      </c>
      <c r="H336" s="15">
        <v>1416</v>
      </c>
      <c r="I336" s="15">
        <v>1416</v>
      </c>
      <c r="K336">
        <v>3</v>
      </c>
      <c r="L336" t="s">
        <v>464</v>
      </c>
      <c r="M336" t="s">
        <v>574</v>
      </c>
      <c r="N336">
        <v>56</v>
      </c>
      <c r="O336" s="41">
        <f>470+465</f>
        <v>935</v>
      </c>
      <c r="P336" s="41">
        <f>470+465</f>
        <v>935</v>
      </c>
      <c r="Q336" s="41">
        <f>470+465</f>
        <v>935</v>
      </c>
      <c r="R336" s="41" t="s">
        <v>1232</v>
      </c>
      <c r="S336" s="7" t="s">
        <v>1014</v>
      </c>
      <c r="T336">
        <v>1</v>
      </c>
      <c r="U336">
        <v>1</v>
      </c>
      <c r="V336">
        <v>72</v>
      </c>
      <c r="W336">
        <v>44</v>
      </c>
      <c r="Y336">
        <v>0.23330267907326757</v>
      </c>
      <c r="Z336">
        <v>0.23498845030252813</v>
      </c>
      <c r="AB336">
        <f t="shared" si="18"/>
        <v>0.70799999999999996</v>
      </c>
      <c r="AD336" t="e">
        <f t="shared" si="19"/>
        <v>#VALUE!</v>
      </c>
      <c r="AG336">
        <f t="shared" si="20"/>
        <v>0.70496535090758439</v>
      </c>
    </row>
    <row r="337" spans="1:33" ht="75" x14ac:dyDescent="0.25">
      <c r="A337" s="3" t="s">
        <v>634</v>
      </c>
      <c r="B337" s="3" t="s">
        <v>635</v>
      </c>
      <c r="C337" s="12" t="s">
        <v>619</v>
      </c>
      <c r="D337">
        <v>1</v>
      </c>
      <c r="E337">
        <v>1</v>
      </c>
      <c r="G337" s="15">
        <v>2414</v>
      </c>
      <c r="H337" s="15">
        <v>2414</v>
      </c>
      <c r="I337" s="15">
        <v>2414</v>
      </c>
      <c r="K337">
        <v>58</v>
      </c>
      <c r="L337" t="s">
        <v>464</v>
      </c>
      <c r="M337" t="s">
        <v>574</v>
      </c>
      <c r="N337">
        <v>34</v>
      </c>
      <c r="O337" s="41">
        <f>625+645</f>
        <v>1270</v>
      </c>
      <c r="P337" s="41">
        <f>625+645</f>
        <v>1270</v>
      </c>
      <c r="Q337" s="41">
        <f>625+645</f>
        <v>1270</v>
      </c>
      <c r="R337" s="41" t="s">
        <v>1233</v>
      </c>
      <c r="S337" t="s">
        <v>1015</v>
      </c>
      <c r="T337">
        <v>1</v>
      </c>
      <c r="U337">
        <v>1</v>
      </c>
      <c r="V337">
        <v>93</v>
      </c>
      <c r="W337">
        <v>90</v>
      </c>
      <c r="Y337">
        <v>0.39773493452179937</v>
      </c>
      <c r="Z337">
        <v>0.40060884112309525</v>
      </c>
      <c r="AB337">
        <f t="shared" si="18"/>
        <v>1.2070000000000001</v>
      </c>
      <c r="AD337" t="e">
        <f t="shared" si="19"/>
        <v>#VALUE!</v>
      </c>
      <c r="AG337">
        <f t="shared" si="20"/>
        <v>23.235312785139524</v>
      </c>
    </row>
    <row r="338" spans="1:33" ht="60" x14ac:dyDescent="0.25">
      <c r="A338" s="3" t="s">
        <v>636</v>
      </c>
      <c r="B338" s="3" t="s">
        <v>637</v>
      </c>
      <c r="C338" s="12" t="s">
        <v>573</v>
      </c>
      <c r="D338">
        <v>1</v>
      </c>
      <c r="E338">
        <v>1</v>
      </c>
      <c r="G338" s="15">
        <v>2065</v>
      </c>
      <c r="H338" s="15">
        <v>2065</v>
      </c>
      <c r="I338" s="15">
        <v>2065</v>
      </c>
      <c r="K338">
        <v>59</v>
      </c>
      <c r="L338" t="s">
        <v>638</v>
      </c>
      <c r="M338" t="s">
        <v>574</v>
      </c>
      <c r="N338">
        <v>67</v>
      </c>
      <c r="O338" s="41">
        <f>540+565</f>
        <v>1105</v>
      </c>
      <c r="P338" s="41">
        <f>540+565</f>
        <v>1105</v>
      </c>
      <c r="Q338" s="41">
        <f>540+565</f>
        <v>1105</v>
      </c>
      <c r="R338" s="41" t="s">
        <v>1234</v>
      </c>
      <c r="S338" t="s">
        <v>1016</v>
      </c>
      <c r="T338">
        <v>1</v>
      </c>
      <c r="U338">
        <v>1</v>
      </c>
      <c r="V338">
        <v>85</v>
      </c>
      <c r="W338">
        <v>75</v>
      </c>
      <c r="Y338">
        <v>0.34023307364851524</v>
      </c>
      <c r="Z338">
        <v>0.34269149002452021</v>
      </c>
      <c r="AB338">
        <f t="shared" si="18"/>
        <v>1.0325</v>
      </c>
      <c r="AD338" t="e">
        <f t="shared" si="19"/>
        <v>#VALUE!</v>
      </c>
      <c r="AG338">
        <f t="shared" si="20"/>
        <v>20.218797911446693</v>
      </c>
    </row>
    <row r="339" spans="1:33" ht="75" x14ac:dyDescent="0.25">
      <c r="A339" s="3" t="s">
        <v>639</v>
      </c>
      <c r="B339" s="3" t="s">
        <v>640</v>
      </c>
      <c r="C339" s="12" t="s">
        <v>573</v>
      </c>
      <c r="D339">
        <v>1</v>
      </c>
      <c r="E339">
        <v>1</v>
      </c>
      <c r="G339" s="15">
        <v>1485</v>
      </c>
      <c r="H339" s="15">
        <v>1485</v>
      </c>
      <c r="I339" s="15">
        <v>1485</v>
      </c>
      <c r="K339">
        <v>65</v>
      </c>
      <c r="L339" t="s">
        <v>464</v>
      </c>
      <c r="M339" t="s">
        <v>574</v>
      </c>
      <c r="N339">
        <v>72</v>
      </c>
      <c r="O339" s="41">
        <f>515+515</f>
        <v>1030</v>
      </c>
      <c r="P339" s="41">
        <f>515+515</f>
        <v>1030</v>
      </c>
      <c r="Q339" s="41">
        <f>515+515</f>
        <v>1030</v>
      </c>
      <c r="R339" s="41" t="s">
        <v>1210</v>
      </c>
      <c r="S339" t="s">
        <v>1017</v>
      </c>
      <c r="T339">
        <v>1</v>
      </c>
      <c r="U339">
        <v>1</v>
      </c>
      <c r="V339">
        <v>82</v>
      </c>
      <c r="W339">
        <v>62</v>
      </c>
      <c r="Y339">
        <v>0.24467124182471917</v>
      </c>
      <c r="Z339">
        <v>0.24643915868591404</v>
      </c>
      <c r="AB339">
        <f t="shared" si="18"/>
        <v>0.74250000000000005</v>
      </c>
      <c r="AG339">
        <f t="shared" si="20"/>
        <v>16.018545314584411</v>
      </c>
    </row>
    <row r="340" spans="1:33" ht="60" x14ac:dyDescent="0.25">
      <c r="A340" s="3" t="s">
        <v>641</v>
      </c>
      <c r="B340" s="3" t="s">
        <v>642</v>
      </c>
      <c r="C340" s="12" t="s">
        <v>587</v>
      </c>
      <c r="D340">
        <v>1</v>
      </c>
      <c r="E340">
        <v>1</v>
      </c>
      <c r="G340" s="15">
        <v>4388</v>
      </c>
      <c r="H340" s="15" t="s">
        <v>28</v>
      </c>
      <c r="I340" s="15" t="s">
        <v>28</v>
      </c>
      <c r="K340" t="s">
        <v>287</v>
      </c>
      <c r="M340" t="s">
        <v>574</v>
      </c>
      <c r="N340">
        <v>75</v>
      </c>
      <c r="V340">
        <v>79</v>
      </c>
      <c r="W340">
        <v>61</v>
      </c>
      <c r="Y340" t="s">
        <v>28</v>
      </c>
      <c r="Z340" t="s">
        <v>28</v>
      </c>
      <c r="AB340" t="e">
        <f t="shared" si="18"/>
        <v>#VALUE!</v>
      </c>
      <c r="AG340" t="s">
        <v>28</v>
      </c>
    </row>
    <row r="341" spans="1:33" ht="105" x14ac:dyDescent="0.25">
      <c r="A341" s="3" t="s">
        <v>643</v>
      </c>
      <c r="B341" s="3" t="s">
        <v>644</v>
      </c>
      <c r="C341" s="12" t="s">
        <v>590</v>
      </c>
      <c r="D341">
        <v>1</v>
      </c>
      <c r="E341">
        <v>1</v>
      </c>
      <c r="G341" s="15">
        <v>2932</v>
      </c>
      <c r="H341" s="15">
        <v>2932</v>
      </c>
      <c r="I341" s="15">
        <v>2932</v>
      </c>
      <c r="K341">
        <v>57</v>
      </c>
      <c r="L341" t="s">
        <v>464</v>
      </c>
      <c r="M341" t="s">
        <v>574</v>
      </c>
      <c r="N341">
        <v>66</v>
      </c>
      <c r="O341" s="41">
        <f>560+570</f>
        <v>1130</v>
      </c>
      <c r="P341" s="41">
        <f>560+570</f>
        <v>1130</v>
      </c>
      <c r="Q341" s="41">
        <f>560+570</f>
        <v>1130</v>
      </c>
      <c r="R341" s="41" t="s">
        <v>1235</v>
      </c>
      <c r="S341" t="s">
        <v>1018</v>
      </c>
      <c r="T341">
        <v>1</v>
      </c>
      <c r="U341">
        <v>1</v>
      </c>
      <c r="V341">
        <v>88</v>
      </c>
      <c r="W341">
        <v>80</v>
      </c>
      <c r="Y341">
        <v>0.48308153604718962</v>
      </c>
      <c r="Z341">
        <v>0.48657213014619527</v>
      </c>
      <c r="AB341">
        <f t="shared" si="18"/>
        <v>1.466</v>
      </c>
      <c r="AG341">
        <f>K341*Z341</f>
        <v>27.734611418333131</v>
      </c>
    </row>
    <row r="342" spans="1:33" ht="75" x14ac:dyDescent="0.25">
      <c r="A342" s="3" t="s">
        <v>645</v>
      </c>
      <c r="B342" s="3" t="s">
        <v>646</v>
      </c>
      <c r="C342" s="3" t="s">
        <v>647</v>
      </c>
      <c r="D342">
        <v>1</v>
      </c>
      <c r="E342">
        <v>1</v>
      </c>
      <c r="G342" s="15">
        <v>2032</v>
      </c>
      <c r="H342" s="15">
        <v>2032</v>
      </c>
      <c r="I342" s="15">
        <v>2032</v>
      </c>
      <c r="K342">
        <v>42</v>
      </c>
      <c r="L342" t="s">
        <v>625</v>
      </c>
      <c r="M342" t="s">
        <v>574</v>
      </c>
      <c r="N342">
        <v>80</v>
      </c>
      <c r="O342" s="41">
        <f>485+525</f>
        <v>1010</v>
      </c>
      <c r="P342" s="41">
        <f>485+525</f>
        <v>1010</v>
      </c>
      <c r="Q342" s="41">
        <f>485+525</f>
        <v>1010</v>
      </c>
      <c r="R342" s="41" t="s">
        <v>1236</v>
      </c>
      <c r="S342" t="s">
        <v>1019</v>
      </c>
      <c r="T342">
        <v>1</v>
      </c>
      <c r="U342">
        <v>1</v>
      </c>
      <c r="V342">
        <v>79</v>
      </c>
      <c r="W342">
        <v>69</v>
      </c>
      <c r="Y342">
        <v>0.33479593494129922</v>
      </c>
      <c r="Z342">
        <v>0.33721506427594433</v>
      </c>
      <c r="AB342">
        <f t="shared" si="18"/>
        <v>1.016</v>
      </c>
      <c r="AG342">
        <f>K342*Z342</f>
        <v>14.163032699589662</v>
      </c>
    </row>
    <row r="343" spans="1:33" ht="75" x14ac:dyDescent="0.25">
      <c r="A343" s="3" t="s">
        <v>648</v>
      </c>
      <c r="B343" s="3" t="s">
        <v>649</v>
      </c>
      <c r="C343" s="12" t="s">
        <v>587</v>
      </c>
      <c r="D343">
        <v>1</v>
      </c>
      <c r="E343">
        <v>1</v>
      </c>
      <c r="G343" s="15">
        <v>1611</v>
      </c>
      <c r="H343" s="15">
        <v>1611</v>
      </c>
      <c r="I343" s="15" t="s">
        <v>28</v>
      </c>
      <c r="K343" s="5">
        <v>48</v>
      </c>
      <c r="L343" s="5" t="s">
        <v>464</v>
      </c>
      <c r="M343" t="s">
        <v>574</v>
      </c>
      <c r="N343">
        <v>71</v>
      </c>
      <c r="O343" s="41">
        <f>470+470</f>
        <v>940</v>
      </c>
      <c r="P343" s="41">
        <f>470+470</f>
        <v>940</v>
      </c>
      <c r="Q343" s="41">
        <f>470+470</f>
        <v>940</v>
      </c>
      <c r="R343" s="41" t="s">
        <v>1237</v>
      </c>
      <c r="S343" t="s">
        <v>1020</v>
      </c>
      <c r="T343">
        <v>1</v>
      </c>
      <c r="U343" t="s">
        <v>28</v>
      </c>
      <c r="V343">
        <v>60</v>
      </c>
      <c r="Y343">
        <v>0.26543122597954383</v>
      </c>
      <c r="Z343" t="s">
        <v>28</v>
      </c>
      <c r="AB343">
        <f t="shared" ref="AB343:AB359" si="21">H343/$H$97</f>
        <v>0.80549999999999999</v>
      </c>
      <c r="AG343" t="s">
        <v>28</v>
      </c>
    </row>
    <row r="344" spans="1:33" ht="90" x14ac:dyDescent="0.25">
      <c r="A344" s="3" t="s">
        <v>650</v>
      </c>
      <c r="B344" s="3" t="s">
        <v>595</v>
      </c>
      <c r="C344" s="12" t="s">
        <v>616</v>
      </c>
      <c r="D344">
        <v>1</v>
      </c>
      <c r="E344">
        <v>1</v>
      </c>
      <c r="G344" s="15">
        <v>2515</v>
      </c>
      <c r="H344" s="15">
        <v>2515</v>
      </c>
      <c r="I344" s="15">
        <v>2515</v>
      </c>
      <c r="K344">
        <v>25</v>
      </c>
      <c r="L344" t="s">
        <v>625</v>
      </c>
      <c r="M344" t="s">
        <v>574</v>
      </c>
      <c r="N344">
        <v>46</v>
      </c>
      <c r="O344" s="41">
        <f>610+615</f>
        <v>1225</v>
      </c>
      <c r="P344" s="41">
        <f>610+615</f>
        <v>1225</v>
      </c>
      <c r="Q344" s="41">
        <f>610+615</f>
        <v>1225</v>
      </c>
      <c r="R344" s="41" t="s">
        <v>1238</v>
      </c>
      <c r="S344" t="s">
        <v>1021</v>
      </c>
      <c r="T344">
        <v>1</v>
      </c>
      <c r="U344">
        <v>1</v>
      </c>
      <c r="V344">
        <v>92</v>
      </c>
      <c r="W344">
        <v>85</v>
      </c>
      <c r="Y344">
        <v>0.41437587420146044</v>
      </c>
      <c r="Z344">
        <v>0.41737002295964565</v>
      </c>
      <c r="AB344">
        <f t="shared" si="21"/>
        <v>1.2575000000000001</v>
      </c>
      <c r="AG344">
        <f>K344*Z344</f>
        <v>10.434250573991141</v>
      </c>
    </row>
    <row r="345" spans="1:33" ht="30" x14ac:dyDescent="0.25">
      <c r="A345" s="3" t="s">
        <v>651</v>
      </c>
      <c r="B345" s="3" t="s">
        <v>652</v>
      </c>
      <c r="C345" s="12" t="s">
        <v>577</v>
      </c>
      <c r="D345">
        <v>0</v>
      </c>
      <c r="E345">
        <v>1</v>
      </c>
      <c r="G345" s="15">
        <v>1892</v>
      </c>
      <c r="H345" s="15" t="s">
        <v>28</v>
      </c>
      <c r="I345" s="15" t="s">
        <v>28</v>
      </c>
      <c r="M345" t="s">
        <v>574</v>
      </c>
      <c r="V345" t="s">
        <v>653</v>
      </c>
      <c r="Y345" t="s">
        <v>28</v>
      </c>
      <c r="Z345" t="s">
        <v>28</v>
      </c>
      <c r="AB345" t="e">
        <f t="shared" si="21"/>
        <v>#VALUE!</v>
      </c>
      <c r="AG345" t="s">
        <v>28</v>
      </c>
    </row>
    <row r="346" spans="1:33" ht="75" x14ac:dyDescent="0.25">
      <c r="A346" s="3" t="s">
        <v>654</v>
      </c>
      <c r="B346" s="3" t="s">
        <v>592</v>
      </c>
      <c r="C346" s="12" t="s">
        <v>577</v>
      </c>
      <c r="D346">
        <v>0</v>
      </c>
      <c r="E346">
        <v>1</v>
      </c>
      <c r="G346" s="15">
        <v>4061</v>
      </c>
      <c r="H346" s="15">
        <v>4061</v>
      </c>
      <c r="I346" s="15">
        <v>4061</v>
      </c>
      <c r="K346" s="5">
        <v>6</v>
      </c>
      <c r="L346" s="5" t="s">
        <v>464</v>
      </c>
      <c r="M346" t="s">
        <v>574</v>
      </c>
      <c r="N346">
        <v>74</v>
      </c>
      <c r="O346" s="41">
        <f>480+505</f>
        <v>985</v>
      </c>
      <c r="P346" s="41">
        <f>480+505</f>
        <v>985</v>
      </c>
      <c r="Q346" s="41">
        <f>480+505</f>
        <v>985</v>
      </c>
      <c r="R346" s="41" t="s">
        <v>1239</v>
      </c>
      <c r="S346" t="s">
        <v>1022</v>
      </c>
      <c r="T346">
        <v>1</v>
      </c>
      <c r="U346">
        <v>1</v>
      </c>
      <c r="V346">
        <v>76</v>
      </c>
      <c r="W346">
        <v>50</v>
      </c>
      <c r="Y346">
        <v>0.66909758454557888</v>
      </c>
      <c r="Z346">
        <v>0.6739322716656545</v>
      </c>
      <c r="AB346">
        <f t="shared" si="21"/>
        <v>2.0305</v>
      </c>
      <c r="AG346">
        <f>K346*Z346</f>
        <v>4.0435936299939268</v>
      </c>
    </row>
    <row r="347" spans="1:33" ht="105" x14ac:dyDescent="0.25">
      <c r="A347" s="3" t="s">
        <v>655</v>
      </c>
      <c r="B347" s="3" t="s">
        <v>656</v>
      </c>
      <c r="C347" s="12" t="s">
        <v>587</v>
      </c>
      <c r="D347">
        <v>1</v>
      </c>
      <c r="E347">
        <v>1</v>
      </c>
      <c r="G347" s="12">
        <v>863</v>
      </c>
      <c r="H347" s="12" t="s">
        <v>28</v>
      </c>
      <c r="I347" s="12" t="s">
        <v>28</v>
      </c>
      <c r="K347" t="s">
        <v>287</v>
      </c>
      <c r="M347" t="s">
        <v>574</v>
      </c>
      <c r="N347">
        <v>58</v>
      </c>
      <c r="V347">
        <v>67</v>
      </c>
      <c r="W347">
        <v>46</v>
      </c>
      <c r="Y347" t="s">
        <v>28</v>
      </c>
      <c r="Z347" t="s">
        <v>28</v>
      </c>
      <c r="AB347" t="e">
        <f t="shared" si="21"/>
        <v>#VALUE!</v>
      </c>
      <c r="AG347" t="s">
        <v>28</v>
      </c>
    </row>
    <row r="348" spans="1:33" ht="90" x14ac:dyDescent="0.25">
      <c r="A348" s="3" t="s">
        <v>657</v>
      </c>
      <c r="B348" s="3" t="s">
        <v>658</v>
      </c>
      <c r="C348" s="12" t="s">
        <v>587</v>
      </c>
      <c r="D348">
        <v>1</v>
      </c>
      <c r="E348">
        <v>1</v>
      </c>
      <c r="G348" s="15">
        <v>1937</v>
      </c>
      <c r="H348" s="15">
        <v>1937</v>
      </c>
      <c r="I348" s="15">
        <v>1937</v>
      </c>
      <c r="K348" s="5">
        <v>46</v>
      </c>
      <c r="L348" s="5" t="s">
        <v>659</v>
      </c>
      <c r="M348" t="s">
        <v>574</v>
      </c>
      <c r="N348">
        <v>69</v>
      </c>
      <c r="O348" s="41">
        <f>525+530</f>
        <v>1055</v>
      </c>
      <c r="P348" s="41">
        <f>525+530</f>
        <v>1055</v>
      </c>
      <c r="Q348" s="41">
        <f>525+530</f>
        <v>1055</v>
      </c>
      <c r="R348" s="41" t="s">
        <v>1240</v>
      </c>
      <c r="S348" t="s">
        <v>1023</v>
      </c>
      <c r="T348">
        <v>1</v>
      </c>
      <c r="U348">
        <v>1</v>
      </c>
      <c r="V348">
        <v>82</v>
      </c>
      <c r="W348">
        <v>73</v>
      </c>
      <c r="Y348">
        <v>0.31914356593567744</v>
      </c>
      <c r="Z348">
        <v>0.32144959621186231</v>
      </c>
      <c r="AB348">
        <f t="shared" si="21"/>
        <v>0.96850000000000003</v>
      </c>
      <c r="AG348">
        <f t="shared" ref="AG348:AG355" si="22">K348*Z348</f>
        <v>14.786681425745666</v>
      </c>
    </row>
    <row r="349" spans="1:33" ht="75" x14ac:dyDescent="0.25">
      <c r="A349" s="3" t="s">
        <v>660</v>
      </c>
      <c r="B349" s="3" t="s">
        <v>661</v>
      </c>
      <c r="C349" s="12" t="s">
        <v>587</v>
      </c>
      <c r="D349">
        <v>1</v>
      </c>
      <c r="E349">
        <v>1</v>
      </c>
      <c r="G349" s="15">
        <v>2258</v>
      </c>
      <c r="H349" s="15">
        <v>2258</v>
      </c>
      <c r="I349" s="15">
        <v>2258</v>
      </c>
      <c r="K349" s="5">
        <v>48</v>
      </c>
      <c r="L349" s="5" t="s">
        <v>659</v>
      </c>
      <c r="M349" t="s">
        <v>574</v>
      </c>
      <c r="N349">
        <v>65</v>
      </c>
      <c r="O349" s="41">
        <f>525+535</f>
        <v>1060</v>
      </c>
      <c r="P349" s="41">
        <f>525+535</f>
        <v>1060</v>
      </c>
      <c r="Q349" s="41">
        <f>525+535</f>
        <v>1060</v>
      </c>
      <c r="R349" s="41" t="s">
        <v>1241</v>
      </c>
      <c r="S349" t="s">
        <v>1024</v>
      </c>
      <c r="T349">
        <v>1</v>
      </c>
      <c r="U349">
        <v>1</v>
      </c>
      <c r="V349">
        <v>78</v>
      </c>
      <c r="W349">
        <v>60</v>
      </c>
      <c r="Y349">
        <v>0.37203209699677836</v>
      </c>
      <c r="Z349">
        <v>0.37472028303891847</v>
      </c>
      <c r="AB349">
        <f t="shared" si="21"/>
        <v>1.129</v>
      </c>
      <c r="AG349">
        <f t="shared" si="22"/>
        <v>17.986573585868086</v>
      </c>
    </row>
    <row r="350" spans="1:33" ht="90" x14ac:dyDescent="0.25">
      <c r="A350" s="3" t="s">
        <v>662</v>
      </c>
      <c r="B350" s="3" t="s">
        <v>663</v>
      </c>
      <c r="C350" s="12" t="s">
        <v>616</v>
      </c>
      <c r="D350">
        <v>1</v>
      </c>
      <c r="E350">
        <v>1</v>
      </c>
      <c r="G350" s="15">
        <v>2305</v>
      </c>
      <c r="H350" s="15">
        <v>2305</v>
      </c>
      <c r="I350" s="15">
        <v>2305</v>
      </c>
      <c r="K350" s="31">
        <v>61</v>
      </c>
      <c r="L350" s="5" t="s">
        <v>464</v>
      </c>
      <c r="M350" t="s">
        <v>574</v>
      </c>
      <c r="N350">
        <v>72</v>
      </c>
      <c r="O350" s="41">
        <f>555+560</f>
        <v>1115</v>
      </c>
      <c r="P350" s="41">
        <f>555+560</f>
        <v>1115</v>
      </c>
      <c r="Q350" s="41">
        <f>555+560</f>
        <v>1115</v>
      </c>
      <c r="R350" s="41" t="s">
        <v>1225</v>
      </c>
      <c r="S350" t="s">
        <v>1025</v>
      </c>
      <c r="T350">
        <v>1</v>
      </c>
      <c r="U350">
        <v>1</v>
      </c>
      <c r="V350">
        <v>83</v>
      </c>
      <c r="W350">
        <v>76</v>
      </c>
      <c r="Y350">
        <v>0.37977590061008598</v>
      </c>
      <c r="Z350">
        <v>0.38252004092325376</v>
      </c>
      <c r="AB350">
        <f t="shared" si="21"/>
        <v>1.1525000000000001</v>
      </c>
      <c r="AG350">
        <f t="shared" si="22"/>
        <v>23.33372249631848</v>
      </c>
    </row>
    <row r="351" spans="1:33" ht="75" x14ac:dyDescent="0.25">
      <c r="A351" s="3" t="s">
        <v>664</v>
      </c>
      <c r="B351" s="3" t="s">
        <v>665</v>
      </c>
      <c r="C351" s="12" t="s">
        <v>577</v>
      </c>
      <c r="D351">
        <v>0</v>
      </c>
      <c r="E351">
        <v>1</v>
      </c>
      <c r="G351" s="15">
        <v>1524</v>
      </c>
      <c r="H351" s="15">
        <v>1524</v>
      </c>
      <c r="I351" s="15">
        <v>1524</v>
      </c>
      <c r="K351">
        <v>26</v>
      </c>
      <c r="L351" t="s">
        <v>625</v>
      </c>
      <c r="M351" t="s">
        <v>574</v>
      </c>
      <c r="N351">
        <v>14</v>
      </c>
      <c r="O351" s="41">
        <f>715+720</f>
        <v>1435</v>
      </c>
      <c r="P351" s="41">
        <f>715+720</f>
        <v>1435</v>
      </c>
      <c r="Q351" s="41">
        <f>715+720</f>
        <v>1435</v>
      </c>
      <c r="R351" s="41" t="s">
        <v>1242</v>
      </c>
      <c r="S351" t="s">
        <v>1026</v>
      </c>
      <c r="T351">
        <v>1</v>
      </c>
      <c r="U351">
        <v>1</v>
      </c>
      <c r="V351">
        <v>96</v>
      </c>
      <c r="W351">
        <v>93</v>
      </c>
      <c r="Y351">
        <v>0.25109695120597442</v>
      </c>
      <c r="Z351">
        <v>0.25291129820695823</v>
      </c>
      <c r="AB351">
        <f t="shared" si="21"/>
        <v>0.76200000000000001</v>
      </c>
      <c r="AG351">
        <f t="shared" si="22"/>
        <v>6.5756937533809143</v>
      </c>
    </row>
    <row r="352" spans="1:33" ht="90" x14ac:dyDescent="0.25">
      <c r="A352" s="3" t="s">
        <v>666</v>
      </c>
      <c r="B352" s="3" t="s">
        <v>667</v>
      </c>
      <c r="C352" s="12" t="s">
        <v>616</v>
      </c>
      <c r="D352">
        <v>1</v>
      </c>
      <c r="E352">
        <v>1</v>
      </c>
      <c r="G352" s="15">
        <v>1096</v>
      </c>
      <c r="H352" s="15">
        <v>1096</v>
      </c>
      <c r="I352" s="15">
        <v>1096</v>
      </c>
      <c r="K352">
        <v>57</v>
      </c>
      <c r="L352" t="s">
        <v>464</v>
      </c>
      <c r="M352" t="s">
        <v>574</v>
      </c>
      <c r="N352">
        <v>66</v>
      </c>
      <c r="O352" s="41">
        <f>460+470</f>
        <v>930</v>
      </c>
      <c r="P352" s="41">
        <f>460+470</f>
        <v>930</v>
      </c>
      <c r="Q352" s="41">
        <f>460+470</f>
        <v>930</v>
      </c>
      <c r="R352" s="41" t="s">
        <v>1243</v>
      </c>
      <c r="S352" t="s">
        <v>1027</v>
      </c>
      <c r="T352">
        <v>1</v>
      </c>
      <c r="U352">
        <v>1</v>
      </c>
      <c r="V352">
        <v>69</v>
      </c>
      <c r="W352">
        <v>34</v>
      </c>
      <c r="Y352">
        <v>0.18057890979117322</v>
      </c>
      <c r="Z352">
        <v>0.18188371577088336</v>
      </c>
      <c r="AB352">
        <f t="shared" si="21"/>
        <v>0.54800000000000004</v>
      </c>
      <c r="AG352">
        <f t="shared" si="22"/>
        <v>10.367371798940351</v>
      </c>
    </row>
    <row r="353" spans="1:33" ht="75" x14ac:dyDescent="0.25">
      <c r="A353" s="3" t="s">
        <v>668</v>
      </c>
      <c r="B353" s="3" t="s">
        <v>669</v>
      </c>
      <c r="C353" s="12" t="s">
        <v>577</v>
      </c>
      <c r="D353">
        <v>0</v>
      </c>
      <c r="E353">
        <v>1</v>
      </c>
      <c r="G353" s="15">
        <v>1802</v>
      </c>
      <c r="H353" s="15">
        <v>1802</v>
      </c>
      <c r="I353" s="15">
        <v>1802</v>
      </c>
      <c r="K353">
        <v>56</v>
      </c>
      <c r="L353" t="s">
        <v>605</v>
      </c>
      <c r="M353" t="s">
        <v>574</v>
      </c>
      <c r="N353">
        <v>66</v>
      </c>
      <c r="O353" s="41">
        <f>575+570</f>
        <v>1145</v>
      </c>
      <c r="P353" s="41">
        <f>575+570</f>
        <v>1145</v>
      </c>
      <c r="Q353" s="41">
        <f>575+570</f>
        <v>1145</v>
      </c>
      <c r="R353" s="41" t="s">
        <v>1244</v>
      </c>
      <c r="S353" t="s">
        <v>1028</v>
      </c>
      <c r="T353">
        <v>1</v>
      </c>
      <c r="U353">
        <v>1</v>
      </c>
      <c r="V353">
        <v>92</v>
      </c>
      <c r="W353">
        <v>80</v>
      </c>
      <c r="Y353">
        <v>0.29690072576979393</v>
      </c>
      <c r="Z353">
        <v>0.29904603633132465</v>
      </c>
      <c r="AB353">
        <f t="shared" si="21"/>
        <v>0.90100000000000002</v>
      </c>
      <c r="AG353">
        <f t="shared" si="22"/>
        <v>16.746578034554179</v>
      </c>
    </row>
    <row r="354" spans="1:33" ht="75" x14ac:dyDescent="0.25">
      <c r="A354" s="3" t="s">
        <v>670</v>
      </c>
      <c r="B354" s="3" t="s">
        <v>671</v>
      </c>
      <c r="C354" s="12" t="s">
        <v>577</v>
      </c>
      <c r="D354">
        <v>0</v>
      </c>
      <c r="E354">
        <v>1</v>
      </c>
      <c r="G354" s="15">
        <v>1460</v>
      </c>
      <c r="H354" s="15">
        <v>1460</v>
      </c>
      <c r="I354" s="15">
        <v>1460</v>
      </c>
      <c r="K354" s="31">
        <v>64</v>
      </c>
      <c r="L354" s="5" t="s">
        <v>672</v>
      </c>
      <c r="M354" t="s">
        <v>574</v>
      </c>
      <c r="N354">
        <v>39</v>
      </c>
      <c r="O354">
        <f>1593-12.418*N354+0.065*N354*N354</f>
        <v>1207.5630000000001</v>
      </c>
      <c r="P354">
        <f>1451-5.739*N354</f>
        <v>1227.1790000000001</v>
      </c>
      <c r="T354" t="s">
        <v>28</v>
      </c>
      <c r="U354" t="s">
        <v>28</v>
      </c>
      <c r="V354">
        <v>86</v>
      </c>
      <c r="W354">
        <v>77</v>
      </c>
      <c r="Y354">
        <v>0.24055219734955555</v>
      </c>
      <c r="Z354">
        <v>0.24229035130062929</v>
      </c>
      <c r="AB354">
        <f t="shared" si="21"/>
        <v>0.73</v>
      </c>
      <c r="AG354">
        <f t="shared" si="22"/>
        <v>15.506582483240274</v>
      </c>
    </row>
    <row r="355" spans="1:33" ht="90" x14ac:dyDescent="0.25">
      <c r="A355" s="3" t="s">
        <v>673</v>
      </c>
      <c r="B355" s="3" t="s">
        <v>674</v>
      </c>
      <c r="C355" s="12" t="s">
        <v>619</v>
      </c>
      <c r="D355">
        <v>1</v>
      </c>
      <c r="E355">
        <v>1</v>
      </c>
      <c r="G355" s="15">
        <v>1582</v>
      </c>
      <c r="H355" s="15">
        <v>1582</v>
      </c>
      <c r="I355" s="15">
        <v>1582</v>
      </c>
      <c r="K355">
        <v>57</v>
      </c>
      <c r="L355" t="s">
        <v>464</v>
      </c>
      <c r="M355" t="s">
        <v>574</v>
      </c>
      <c r="N355">
        <v>73</v>
      </c>
      <c r="O355" s="41">
        <f>475+530</f>
        <v>1005</v>
      </c>
      <c r="P355" s="41">
        <f>475+530</f>
        <v>1005</v>
      </c>
      <c r="Q355" s="41">
        <f>475+530</f>
        <v>1005</v>
      </c>
      <c r="R355" s="41" t="s">
        <v>1245</v>
      </c>
      <c r="S355" t="s">
        <v>1029</v>
      </c>
      <c r="T355">
        <v>1</v>
      </c>
      <c r="U355">
        <v>1</v>
      </c>
      <c r="V355">
        <v>87</v>
      </c>
      <c r="W355">
        <v>77</v>
      </c>
      <c r="Y355">
        <v>0.26065313438835402</v>
      </c>
      <c r="Z355">
        <v>0.26253653134081884</v>
      </c>
      <c r="AB355">
        <f t="shared" si="21"/>
        <v>0.79100000000000004</v>
      </c>
      <c r="AG355">
        <f t="shared" si="22"/>
        <v>14.964582286426674</v>
      </c>
    </row>
    <row r="356" spans="1:33" ht="75" x14ac:dyDescent="0.25">
      <c r="A356" s="3" t="s">
        <v>675</v>
      </c>
      <c r="B356" s="3" t="s">
        <v>676</v>
      </c>
      <c r="C356" s="12" t="s">
        <v>619</v>
      </c>
      <c r="D356">
        <v>1</v>
      </c>
      <c r="E356">
        <v>1</v>
      </c>
      <c r="G356" s="12">
        <v>807</v>
      </c>
      <c r="H356" s="12">
        <v>807</v>
      </c>
      <c r="I356" s="12" t="s">
        <v>28</v>
      </c>
      <c r="K356">
        <v>71</v>
      </c>
      <c r="L356" t="s">
        <v>464</v>
      </c>
      <c r="M356" t="s">
        <v>574</v>
      </c>
      <c r="N356">
        <v>53</v>
      </c>
      <c r="O356">
        <f>1593-12.418*N356+0.065*N356*N356</f>
        <v>1117.431</v>
      </c>
      <c r="P356">
        <f>1451-5.739*N356</f>
        <v>1146.8330000000001</v>
      </c>
      <c r="T356" t="s">
        <v>28</v>
      </c>
      <c r="U356" t="s">
        <v>28</v>
      </c>
      <c r="V356">
        <v>79</v>
      </c>
      <c r="Y356" s="5">
        <v>0.13296275565828172</v>
      </c>
      <c r="Z356" t="s">
        <v>28</v>
      </c>
      <c r="AB356">
        <f t="shared" si="21"/>
        <v>0.40350000000000003</v>
      </c>
      <c r="AG356" t="s">
        <v>28</v>
      </c>
    </row>
    <row r="357" spans="1:33" ht="90" x14ac:dyDescent="0.25">
      <c r="A357" s="3" t="s">
        <v>677</v>
      </c>
      <c r="B357" s="12" t="s">
        <v>678</v>
      </c>
      <c r="C357" s="12" t="s">
        <v>590</v>
      </c>
      <c r="D357">
        <v>1</v>
      </c>
      <c r="E357">
        <v>1</v>
      </c>
      <c r="G357" s="12">
        <v>4499</v>
      </c>
      <c r="H357" s="12">
        <v>4499</v>
      </c>
      <c r="I357" s="12">
        <v>4499</v>
      </c>
      <c r="K357">
        <v>48</v>
      </c>
      <c r="L357" t="s">
        <v>464</v>
      </c>
      <c r="M357" t="s">
        <v>574</v>
      </c>
      <c r="N357">
        <v>80</v>
      </c>
      <c r="O357" s="41">
        <f>519+533</f>
        <v>1052</v>
      </c>
      <c r="P357" s="41">
        <f>519+533</f>
        <v>1052</v>
      </c>
      <c r="Q357" s="41">
        <f>519+533</f>
        <v>1052</v>
      </c>
      <c r="R357" s="41" t="s">
        <v>1246</v>
      </c>
      <c r="S357" t="s">
        <v>1030</v>
      </c>
      <c r="T357">
        <v>1</v>
      </c>
      <c r="U357">
        <v>1</v>
      </c>
      <c r="V357">
        <v>79</v>
      </c>
      <c r="W357">
        <v>56</v>
      </c>
      <c r="Y357">
        <v>0.7412632437504455</v>
      </c>
      <c r="Z357">
        <v>0.74661937705584325</v>
      </c>
      <c r="AB357">
        <f t="shared" si="21"/>
        <v>2.2494999999999998</v>
      </c>
      <c r="AG357">
        <f t="shared" ref="AG357:AG366" si="23">K357*Z357</f>
        <v>35.837730098680474</v>
      </c>
    </row>
    <row r="358" spans="1:33" ht="75" x14ac:dyDescent="0.25">
      <c r="A358" s="3" t="s">
        <v>679</v>
      </c>
      <c r="B358" s="3" t="s">
        <v>680</v>
      </c>
      <c r="C358" s="12" t="s">
        <v>577</v>
      </c>
      <c r="D358">
        <v>0</v>
      </c>
      <c r="E358">
        <v>1</v>
      </c>
      <c r="G358" s="15">
        <v>5506</v>
      </c>
      <c r="H358" s="15">
        <v>5506</v>
      </c>
      <c r="I358" s="15">
        <v>5506</v>
      </c>
      <c r="K358">
        <v>42</v>
      </c>
      <c r="L358" t="s">
        <v>464</v>
      </c>
      <c r="M358" t="s">
        <v>574</v>
      </c>
      <c r="N358">
        <v>74</v>
      </c>
      <c r="O358" s="41">
        <f>520+535</f>
        <v>1055</v>
      </c>
      <c r="P358" s="41">
        <f>520+535</f>
        <v>1055</v>
      </c>
      <c r="Q358" s="41">
        <f>520+535</f>
        <v>1055</v>
      </c>
      <c r="R358" s="41" t="s">
        <v>1247</v>
      </c>
      <c r="S358" t="s">
        <v>1031</v>
      </c>
      <c r="T358">
        <v>1</v>
      </c>
      <c r="U358">
        <v>1</v>
      </c>
      <c r="V358">
        <v>75</v>
      </c>
      <c r="W358">
        <v>58</v>
      </c>
      <c r="Y358">
        <v>0.9071783552100362</v>
      </c>
      <c r="Z358">
        <v>0.91373333853511296</v>
      </c>
      <c r="AB358">
        <f t="shared" si="21"/>
        <v>2.7530000000000001</v>
      </c>
      <c r="AG358">
        <f t="shared" si="23"/>
        <v>38.376800218474742</v>
      </c>
    </row>
    <row r="359" spans="1:33" ht="45" x14ac:dyDescent="0.25">
      <c r="A359" s="3" t="s">
        <v>681</v>
      </c>
      <c r="B359" s="3" t="s">
        <v>572</v>
      </c>
      <c r="C359" s="3" t="s">
        <v>587</v>
      </c>
      <c r="D359">
        <v>1</v>
      </c>
      <c r="E359">
        <v>1</v>
      </c>
      <c r="G359" s="31">
        <v>3003</v>
      </c>
      <c r="H359" s="31">
        <v>3003</v>
      </c>
      <c r="I359" s="31">
        <v>3003</v>
      </c>
      <c r="J359" s="5"/>
      <c r="K359" s="5">
        <v>52</v>
      </c>
      <c r="L359" s="5" t="s">
        <v>682</v>
      </c>
      <c r="M359" s="5" t="s">
        <v>574</v>
      </c>
      <c r="N359" s="5">
        <v>78</v>
      </c>
      <c r="O359" s="47">
        <f>495+500</f>
        <v>995</v>
      </c>
      <c r="P359" s="47">
        <f>495+500</f>
        <v>995</v>
      </c>
      <c r="Q359" s="47">
        <f>495+500</f>
        <v>995</v>
      </c>
      <c r="R359" s="47" t="s">
        <v>1127</v>
      </c>
      <c r="S359" s="5" t="s">
        <v>1032</v>
      </c>
      <c r="T359" s="5">
        <v>1</v>
      </c>
      <c r="U359" s="5">
        <v>1</v>
      </c>
      <c r="V359" s="5">
        <v>77</v>
      </c>
      <c r="W359" s="5">
        <v>53</v>
      </c>
      <c r="Y359">
        <v>0.49477962235665435</v>
      </c>
      <c r="Z359">
        <v>0.49835474312040395</v>
      </c>
      <c r="AB359">
        <f t="shared" si="21"/>
        <v>1.5015000000000001</v>
      </c>
      <c r="AG359">
        <f t="shared" si="23"/>
        <v>25.914446642261005</v>
      </c>
    </row>
    <row r="360" spans="1:33" ht="105" x14ac:dyDescent="0.25">
      <c r="A360" s="3" t="s">
        <v>683</v>
      </c>
      <c r="B360" s="3" t="s">
        <v>684</v>
      </c>
      <c r="C360" s="12" t="s">
        <v>577</v>
      </c>
      <c r="D360">
        <v>0</v>
      </c>
      <c r="E360">
        <v>1</v>
      </c>
      <c r="G360" s="31">
        <v>3983</v>
      </c>
      <c r="H360" s="31" t="s">
        <v>28</v>
      </c>
      <c r="I360" s="31">
        <v>3983</v>
      </c>
      <c r="J360" s="5"/>
      <c r="K360" s="5">
        <v>50</v>
      </c>
      <c r="L360" s="5" t="s">
        <v>464</v>
      </c>
      <c r="M360" s="5" t="s">
        <v>574</v>
      </c>
      <c r="N360" s="5">
        <v>60</v>
      </c>
      <c r="O360" s="47">
        <f>549+549</f>
        <v>1098</v>
      </c>
      <c r="P360" s="47">
        <f>549+549</f>
        <v>1098</v>
      </c>
      <c r="Q360" s="47">
        <f>549+549</f>
        <v>1098</v>
      </c>
      <c r="R360" s="47" t="s">
        <v>1248</v>
      </c>
      <c r="S360" s="5" t="s">
        <v>1033</v>
      </c>
      <c r="T360" s="5"/>
      <c r="U360" s="5">
        <v>1</v>
      </c>
      <c r="V360" s="5"/>
      <c r="W360" s="5">
        <v>65</v>
      </c>
      <c r="Y360" t="s">
        <v>28</v>
      </c>
      <c r="Z360">
        <v>0.66098799262356611</v>
      </c>
      <c r="AB360" t="s">
        <v>28</v>
      </c>
      <c r="AG360">
        <f t="shared" si="23"/>
        <v>33.049399631178304</v>
      </c>
    </row>
    <row r="361" spans="1:33" ht="105" x14ac:dyDescent="0.25">
      <c r="A361" s="3" t="s">
        <v>685</v>
      </c>
      <c r="B361" s="3" t="s">
        <v>656</v>
      </c>
      <c r="C361" s="12" t="s">
        <v>577</v>
      </c>
      <c r="D361">
        <v>0</v>
      </c>
      <c r="E361">
        <v>1</v>
      </c>
      <c r="G361" s="31">
        <v>1751</v>
      </c>
      <c r="H361" s="31">
        <v>1751</v>
      </c>
      <c r="I361" s="31">
        <v>1751</v>
      </c>
      <c r="J361" s="5"/>
      <c r="K361" s="5">
        <v>24</v>
      </c>
      <c r="L361" s="5" t="s">
        <v>625</v>
      </c>
      <c r="M361" s="5" t="s">
        <v>574</v>
      </c>
      <c r="N361" s="5">
        <v>40</v>
      </c>
      <c r="O361" s="47">
        <f>675+675</f>
        <v>1350</v>
      </c>
      <c r="P361" s="47">
        <f>675+675</f>
        <v>1350</v>
      </c>
      <c r="Q361" s="47">
        <f>675+675</f>
        <v>1350</v>
      </c>
      <c r="R361" s="47" t="s">
        <v>1249</v>
      </c>
      <c r="S361" s="5" t="s">
        <v>1034</v>
      </c>
      <c r="T361" s="5">
        <v>1</v>
      </c>
      <c r="U361" s="5">
        <v>1</v>
      </c>
      <c r="V361" s="5">
        <v>91</v>
      </c>
      <c r="W361" s="5">
        <v>82</v>
      </c>
      <c r="Y361">
        <v>0.28849787504046009</v>
      </c>
      <c r="Z361">
        <v>0.29058246926534376</v>
      </c>
      <c r="AB361">
        <f t="shared" ref="AB361:AB366" si="24">H361/$H$97</f>
        <v>0.87549999999999994</v>
      </c>
      <c r="AG361">
        <f t="shared" si="23"/>
        <v>6.9739792623682497</v>
      </c>
    </row>
    <row r="362" spans="1:33" ht="75" x14ac:dyDescent="0.25">
      <c r="A362" s="3" t="s">
        <v>686</v>
      </c>
      <c r="B362" s="3" t="s">
        <v>592</v>
      </c>
      <c r="C362" s="12" t="s">
        <v>577</v>
      </c>
      <c r="D362">
        <v>0</v>
      </c>
      <c r="E362">
        <v>1</v>
      </c>
      <c r="G362" s="31">
        <v>11340</v>
      </c>
      <c r="H362" s="31">
        <v>11340</v>
      </c>
      <c r="I362" s="31">
        <v>11340</v>
      </c>
      <c r="J362" s="5"/>
      <c r="K362" s="5">
        <v>50</v>
      </c>
      <c r="L362" s="5" t="s">
        <v>464</v>
      </c>
      <c r="M362" s="5" t="s">
        <v>574</v>
      </c>
      <c r="N362" s="5">
        <v>25</v>
      </c>
      <c r="O362" s="47">
        <f>695+755</f>
        <v>1450</v>
      </c>
      <c r="P362" s="47">
        <f>695+755</f>
        <v>1450</v>
      </c>
      <c r="Q362" s="47">
        <f>695+755</f>
        <v>1450</v>
      </c>
      <c r="R362" s="47" t="s">
        <v>1250</v>
      </c>
      <c r="S362" s="5" t="s">
        <v>1035</v>
      </c>
      <c r="T362" s="5">
        <v>1</v>
      </c>
      <c r="U362" s="5">
        <v>1</v>
      </c>
      <c r="V362" s="5">
        <v>96</v>
      </c>
      <c r="W362" s="5">
        <v>88</v>
      </c>
      <c r="Y362">
        <v>1.868398573934219</v>
      </c>
      <c r="Z362">
        <v>1.8818990299651617</v>
      </c>
      <c r="AB362">
        <f t="shared" si="24"/>
        <v>5.67</v>
      </c>
      <c r="AG362">
        <f t="shared" si="23"/>
        <v>94.094951498258084</v>
      </c>
    </row>
    <row r="363" spans="1:33" ht="45" x14ac:dyDescent="0.25">
      <c r="A363" s="3" t="s">
        <v>687</v>
      </c>
      <c r="B363" s="3" t="s">
        <v>652</v>
      </c>
      <c r="C363" s="12" t="s">
        <v>587</v>
      </c>
      <c r="D363">
        <v>1</v>
      </c>
      <c r="E363">
        <v>1</v>
      </c>
      <c r="G363" s="31">
        <v>2414</v>
      </c>
      <c r="H363" s="31">
        <v>2414</v>
      </c>
      <c r="I363" s="31">
        <v>2414</v>
      </c>
      <c r="J363" s="5"/>
      <c r="K363" s="5">
        <v>16</v>
      </c>
      <c r="L363" s="5" t="s">
        <v>464</v>
      </c>
      <c r="M363" s="5" t="s">
        <v>574</v>
      </c>
      <c r="N363" s="5">
        <v>57</v>
      </c>
      <c r="O363" s="47">
        <f>490+475</f>
        <v>965</v>
      </c>
      <c r="P363" s="47">
        <f>490+475</f>
        <v>965</v>
      </c>
      <c r="Q363" s="47">
        <f>490+475</f>
        <v>965</v>
      </c>
      <c r="R363" s="47" t="s">
        <v>1251</v>
      </c>
      <c r="S363" s="5" t="s">
        <v>1036</v>
      </c>
      <c r="T363" s="5">
        <v>1</v>
      </c>
      <c r="U363" s="5">
        <v>1</v>
      </c>
      <c r="V363" s="5">
        <v>78</v>
      </c>
      <c r="W363" s="5">
        <v>48</v>
      </c>
      <c r="Y363">
        <v>0.39773493452179937</v>
      </c>
      <c r="Z363">
        <v>0.40060884112309525</v>
      </c>
      <c r="AB363">
        <f t="shared" si="24"/>
        <v>1.2070000000000001</v>
      </c>
      <c r="AG363">
        <f t="shared" si="23"/>
        <v>6.409741457969524</v>
      </c>
    </row>
    <row r="364" spans="1:33" ht="45" x14ac:dyDescent="0.25">
      <c r="A364" s="3" t="s">
        <v>688</v>
      </c>
      <c r="B364" s="3" t="s">
        <v>652</v>
      </c>
      <c r="C364" s="12" t="s">
        <v>577</v>
      </c>
      <c r="D364">
        <v>0</v>
      </c>
      <c r="E364">
        <v>1</v>
      </c>
      <c r="G364" s="15">
        <v>23637</v>
      </c>
      <c r="H364" s="15">
        <v>23637</v>
      </c>
      <c r="I364" s="15">
        <v>23637</v>
      </c>
      <c r="K364">
        <v>30</v>
      </c>
      <c r="L364" t="s">
        <v>464</v>
      </c>
      <c r="M364" t="s">
        <v>574</v>
      </c>
      <c r="N364">
        <v>82</v>
      </c>
      <c r="O364" s="41">
        <f>580+623</f>
        <v>1203</v>
      </c>
      <c r="P364" s="41">
        <f>580+623</f>
        <v>1203</v>
      </c>
      <c r="Q364" s="41">
        <f>580+623</f>
        <v>1203</v>
      </c>
      <c r="R364" s="41" t="s">
        <v>1252</v>
      </c>
      <c r="S364" t="s">
        <v>1037</v>
      </c>
      <c r="T364" s="5">
        <v>1</v>
      </c>
      <c r="U364" s="5">
        <v>1</v>
      </c>
      <c r="V364">
        <v>84</v>
      </c>
      <c r="W364">
        <v>67</v>
      </c>
      <c r="Y364">
        <v>3.8944741703777019</v>
      </c>
      <c r="Z364">
        <v>3.9226144066390236</v>
      </c>
      <c r="AB364">
        <f t="shared" si="24"/>
        <v>11.8185</v>
      </c>
      <c r="AG364">
        <f t="shared" si="23"/>
        <v>117.67843219917071</v>
      </c>
    </row>
    <row r="365" spans="1:33" ht="75" x14ac:dyDescent="0.25">
      <c r="A365" s="3" t="s">
        <v>689</v>
      </c>
      <c r="B365" s="3" t="s">
        <v>592</v>
      </c>
      <c r="C365" s="3" t="s">
        <v>587</v>
      </c>
      <c r="D365">
        <v>1</v>
      </c>
      <c r="E365">
        <v>1</v>
      </c>
      <c r="G365" s="15">
        <v>10161</v>
      </c>
      <c r="H365" s="15">
        <v>10161</v>
      </c>
      <c r="I365" s="15">
        <v>10161</v>
      </c>
      <c r="K365">
        <v>39</v>
      </c>
      <c r="L365" t="s">
        <v>464</v>
      </c>
      <c r="M365" t="s">
        <v>574</v>
      </c>
      <c r="N365">
        <v>74</v>
      </c>
      <c r="O365" s="41">
        <f>560+565</f>
        <v>1125</v>
      </c>
      <c r="P365" s="41">
        <f>560+565</f>
        <v>1125</v>
      </c>
      <c r="Q365" s="41">
        <f>560+565</f>
        <v>1125</v>
      </c>
      <c r="R365" s="41" t="s">
        <v>1116</v>
      </c>
      <c r="S365" t="s">
        <v>1038</v>
      </c>
      <c r="T365" s="5">
        <v>1</v>
      </c>
      <c r="U365" s="5">
        <v>1</v>
      </c>
      <c r="V365">
        <v>88</v>
      </c>
      <c r="W365">
        <v>76</v>
      </c>
      <c r="Y365">
        <v>1.6741444364855027</v>
      </c>
      <c r="Z365">
        <v>1.6862412736751331</v>
      </c>
      <c r="AB365">
        <f t="shared" si="24"/>
        <v>5.0804999999999998</v>
      </c>
      <c r="AG365">
        <f t="shared" si="23"/>
        <v>65.763409673330187</v>
      </c>
    </row>
    <row r="366" spans="1:33" ht="90" x14ac:dyDescent="0.25">
      <c r="A366" s="3" t="s">
        <v>690</v>
      </c>
      <c r="B366" s="3" t="s">
        <v>586</v>
      </c>
      <c r="C366" s="3" t="s">
        <v>691</v>
      </c>
      <c r="D366">
        <v>1</v>
      </c>
      <c r="E366">
        <v>1</v>
      </c>
      <c r="G366" s="15">
        <v>4476</v>
      </c>
      <c r="H366" s="15">
        <v>4476</v>
      </c>
      <c r="I366" s="15">
        <v>4476</v>
      </c>
      <c r="K366" s="5">
        <v>47</v>
      </c>
      <c r="L366" s="5" t="s">
        <v>464</v>
      </c>
      <c r="M366" t="s">
        <v>574</v>
      </c>
      <c r="N366">
        <v>75</v>
      </c>
      <c r="O366" s="41">
        <f>515+510</f>
        <v>1025</v>
      </c>
      <c r="P366" s="41">
        <f>515+510</f>
        <v>1025</v>
      </c>
      <c r="Q366" s="41">
        <f>515+510</f>
        <v>1025</v>
      </c>
      <c r="R366" s="41" t="s">
        <v>1253</v>
      </c>
      <c r="S366" t="s">
        <v>1039</v>
      </c>
      <c r="T366" s="5">
        <v>1</v>
      </c>
      <c r="U366" s="5">
        <v>1</v>
      </c>
      <c r="V366">
        <v>74</v>
      </c>
      <c r="W366">
        <v>62</v>
      </c>
      <c r="Y366">
        <v>0.73747372283329493</v>
      </c>
      <c r="Z366">
        <v>0.74280247426138135</v>
      </c>
      <c r="AB366">
        <f t="shared" si="24"/>
        <v>2.238</v>
      </c>
      <c r="AG366">
        <f t="shared" si="23"/>
        <v>34.911716290284922</v>
      </c>
    </row>
    <row r="367" spans="1:33" ht="45" x14ac:dyDescent="0.25">
      <c r="A367" s="3" t="s">
        <v>692</v>
      </c>
      <c r="B367" s="3" t="s">
        <v>642</v>
      </c>
      <c r="C367" s="12" t="s">
        <v>587</v>
      </c>
      <c r="D367">
        <v>1</v>
      </c>
      <c r="E367">
        <v>1</v>
      </c>
      <c r="G367" s="15">
        <v>4219</v>
      </c>
      <c r="H367" s="15" t="s">
        <v>28</v>
      </c>
      <c r="I367" s="15" t="s">
        <v>28</v>
      </c>
      <c r="K367" t="s">
        <v>287</v>
      </c>
      <c r="M367" t="s">
        <v>574</v>
      </c>
      <c r="N367">
        <v>80</v>
      </c>
      <c r="O367" s="41">
        <f>510+517</f>
        <v>1027</v>
      </c>
      <c r="P367" s="41">
        <f>510+517</f>
        <v>1027</v>
      </c>
      <c r="Q367" s="41">
        <f>510+517</f>
        <v>1027</v>
      </c>
      <c r="R367" s="41" t="s">
        <v>1254</v>
      </c>
      <c r="S367" t="s">
        <v>1040</v>
      </c>
      <c r="V367">
        <v>83</v>
      </c>
      <c r="W367">
        <v>65</v>
      </c>
      <c r="Y367" t="s">
        <v>28</v>
      </c>
      <c r="Z367" t="s">
        <v>28</v>
      </c>
      <c r="AB367" t="s">
        <v>28</v>
      </c>
      <c r="AG367" t="s">
        <v>28</v>
      </c>
    </row>
    <row r="368" spans="1:33" ht="60" x14ac:dyDescent="0.25">
      <c r="A368" s="3" t="s">
        <v>693</v>
      </c>
      <c r="B368" s="3" t="s">
        <v>652</v>
      </c>
      <c r="C368" s="12" t="s">
        <v>587</v>
      </c>
      <c r="D368">
        <v>1</v>
      </c>
      <c r="E368">
        <v>1</v>
      </c>
      <c r="G368" s="15">
        <v>3270</v>
      </c>
      <c r="H368" s="15">
        <v>3270</v>
      </c>
      <c r="I368" s="15">
        <v>3270</v>
      </c>
      <c r="K368" s="31">
        <v>42</v>
      </c>
      <c r="L368" s="5" t="s">
        <v>464</v>
      </c>
      <c r="M368" t="s">
        <v>574</v>
      </c>
      <c r="N368">
        <v>78</v>
      </c>
      <c r="O368" s="41">
        <f>460+455</f>
        <v>915</v>
      </c>
      <c r="P368" s="41">
        <f>460+455</f>
        <v>915</v>
      </c>
      <c r="Q368" s="41">
        <f>460+455</f>
        <v>915</v>
      </c>
      <c r="R368" s="41" t="s">
        <v>1137</v>
      </c>
      <c r="S368" t="s">
        <v>1041</v>
      </c>
      <c r="T368" s="5">
        <v>1</v>
      </c>
      <c r="U368" s="5">
        <v>1</v>
      </c>
      <c r="V368">
        <v>72</v>
      </c>
      <c r="W368">
        <v>56</v>
      </c>
      <c r="Y368">
        <v>0.53877101735140176</v>
      </c>
      <c r="Z368">
        <v>0.542664005995245</v>
      </c>
      <c r="AB368">
        <f t="shared" ref="AB368:AB380" si="25">H368/$H$97</f>
        <v>1.635</v>
      </c>
      <c r="AG368">
        <f t="shared" ref="AG368:AG380" si="26">K368*Z368</f>
        <v>22.791888251800291</v>
      </c>
    </row>
    <row r="369" spans="1:33" ht="105" x14ac:dyDescent="0.25">
      <c r="A369" s="3" t="s">
        <v>694</v>
      </c>
      <c r="B369" s="3" t="s">
        <v>695</v>
      </c>
      <c r="C369" s="12" t="s">
        <v>587</v>
      </c>
      <c r="D369">
        <v>1</v>
      </c>
      <c r="E369">
        <v>1</v>
      </c>
      <c r="G369" s="15">
        <v>4456</v>
      </c>
      <c r="H369" s="15">
        <v>4456</v>
      </c>
      <c r="I369" s="15">
        <v>4456</v>
      </c>
      <c r="K369">
        <v>23</v>
      </c>
      <c r="L369" t="s">
        <v>464</v>
      </c>
      <c r="M369" t="s">
        <v>574</v>
      </c>
      <c r="N369">
        <v>82</v>
      </c>
      <c r="O369" s="41">
        <f>485+485</f>
        <v>970</v>
      </c>
      <c r="P369" s="41">
        <f>485+485</f>
        <v>970</v>
      </c>
      <c r="Q369" s="41">
        <f>485+485</f>
        <v>970</v>
      </c>
      <c r="R369" s="41" t="s">
        <v>1255</v>
      </c>
      <c r="S369" t="s">
        <v>1042</v>
      </c>
      <c r="T369" s="5">
        <v>1</v>
      </c>
      <c r="U369" s="5">
        <v>1</v>
      </c>
      <c r="V369">
        <v>80</v>
      </c>
      <c r="W369">
        <v>61</v>
      </c>
      <c r="Y369">
        <v>0.73417848725316404</v>
      </c>
      <c r="Z369">
        <v>0.7394834283531535</v>
      </c>
      <c r="AB369">
        <f t="shared" si="25"/>
        <v>2.2280000000000002</v>
      </c>
      <c r="AG369">
        <f t="shared" si="26"/>
        <v>17.008118852122532</v>
      </c>
    </row>
    <row r="370" spans="1:33" ht="45" x14ac:dyDescent="0.25">
      <c r="A370" s="3" t="s">
        <v>696</v>
      </c>
      <c r="B370" s="3" t="s">
        <v>652</v>
      </c>
      <c r="C370" s="12" t="s">
        <v>587</v>
      </c>
      <c r="D370">
        <v>1</v>
      </c>
      <c r="E370">
        <v>1</v>
      </c>
      <c r="G370" s="15">
        <v>6636</v>
      </c>
      <c r="H370" s="15">
        <v>6636</v>
      </c>
      <c r="I370" s="15">
        <v>6636</v>
      </c>
      <c r="K370">
        <v>44</v>
      </c>
      <c r="L370" t="s">
        <v>464</v>
      </c>
      <c r="M370" t="s">
        <v>574</v>
      </c>
      <c r="N370">
        <v>80</v>
      </c>
      <c r="O370" s="41">
        <f>495+500</f>
        <v>995</v>
      </c>
      <c r="P370" s="41">
        <f>495+500</f>
        <v>995</v>
      </c>
      <c r="Q370" s="41">
        <f>495+500</f>
        <v>995</v>
      </c>
      <c r="R370" s="41" t="s">
        <v>1127</v>
      </c>
      <c r="S370" t="s">
        <v>1043</v>
      </c>
      <c r="T370" s="5">
        <v>1</v>
      </c>
      <c r="U370" s="5">
        <v>1</v>
      </c>
      <c r="V370">
        <v>80</v>
      </c>
      <c r="W370">
        <v>67</v>
      </c>
      <c r="Y370">
        <v>1.0933591654874319</v>
      </c>
      <c r="Z370">
        <v>1.1012594323499836</v>
      </c>
      <c r="AB370">
        <f t="shared" si="25"/>
        <v>3.3180000000000001</v>
      </c>
      <c r="AG370">
        <f t="shared" si="26"/>
        <v>48.455415023399276</v>
      </c>
    </row>
    <row r="371" spans="1:33" ht="75" x14ac:dyDescent="0.25">
      <c r="A371" s="3" t="s">
        <v>697</v>
      </c>
      <c r="B371" s="3" t="s">
        <v>646</v>
      </c>
      <c r="C371" s="12" t="s">
        <v>577</v>
      </c>
      <c r="D371">
        <v>0</v>
      </c>
      <c r="E371">
        <v>1</v>
      </c>
      <c r="G371" s="15">
        <v>7051</v>
      </c>
      <c r="H371" s="15">
        <v>7051</v>
      </c>
      <c r="I371" s="15">
        <v>7051</v>
      </c>
      <c r="K371">
        <v>44</v>
      </c>
      <c r="L371" t="s">
        <v>464</v>
      </c>
      <c r="M371" t="s">
        <v>574</v>
      </c>
      <c r="N371">
        <v>31</v>
      </c>
      <c r="O371" s="41">
        <f>635+690</f>
        <v>1325</v>
      </c>
      <c r="P371" s="41">
        <f>635+690</f>
        <v>1325</v>
      </c>
      <c r="Q371" s="41">
        <f>635+690</f>
        <v>1325</v>
      </c>
      <c r="R371" s="41" t="s">
        <v>1256</v>
      </c>
      <c r="S371" t="s">
        <v>1044</v>
      </c>
      <c r="T371" s="5">
        <v>1</v>
      </c>
      <c r="U371" s="5">
        <v>1</v>
      </c>
      <c r="V371">
        <v>96</v>
      </c>
      <c r="W371">
        <v>87</v>
      </c>
      <c r="Y371">
        <v>1.1617353037751481</v>
      </c>
      <c r="Z371">
        <v>1.1701296349457104</v>
      </c>
      <c r="AB371">
        <f t="shared" si="25"/>
        <v>3.5255000000000001</v>
      </c>
      <c r="AG371">
        <f t="shared" si="26"/>
        <v>51.485703937611262</v>
      </c>
    </row>
    <row r="372" spans="1:33" ht="75" x14ac:dyDescent="0.25">
      <c r="A372" s="3" t="s">
        <v>698</v>
      </c>
      <c r="B372" s="3" t="s">
        <v>699</v>
      </c>
      <c r="C372" s="12" t="s">
        <v>587</v>
      </c>
      <c r="D372">
        <v>1</v>
      </c>
      <c r="E372">
        <v>1</v>
      </c>
      <c r="G372" s="15">
        <v>3479</v>
      </c>
      <c r="H372" s="15">
        <v>3479</v>
      </c>
      <c r="I372" s="15">
        <v>3479</v>
      </c>
      <c r="K372">
        <v>35</v>
      </c>
      <c r="L372" t="s">
        <v>464</v>
      </c>
      <c r="M372" t="s">
        <v>574</v>
      </c>
      <c r="N372">
        <v>70</v>
      </c>
      <c r="O372" s="41">
        <f>510+515</f>
        <v>1025</v>
      </c>
      <c r="P372" s="41">
        <f>510+515</f>
        <v>1025</v>
      </c>
      <c r="Q372" s="41">
        <f>510+515</f>
        <v>1025</v>
      </c>
      <c r="R372" s="41" t="s">
        <v>1257</v>
      </c>
      <c r="S372" t="s">
        <v>1045</v>
      </c>
      <c r="T372" s="5">
        <v>1</v>
      </c>
      <c r="U372" s="5">
        <v>1</v>
      </c>
      <c r="V372">
        <v>80</v>
      </c>
      <c r="W372">
        <v>69</v>
      </c>
      <c r="Y372">
        <v>0.57320622916376973</v>
      </c>
      <c r="Z372">
        <v>0.57734803573622551</v>
      </c>
      <c r="AB372">
        <f t="shared" si="25"/>
        <v>1.7395</v>
      </c>
      <c r="AG372">
        <f t="shared" si="26"/>
        <v>20.207181250767892</v>
      </c>
    </row>
    <row r="373" spans="1:33" ht="75" x14ac:dyDescent="0.25">
      <c r="A373" s="3" t="s">
        <v>700</v>
      </c>
      <c r="B373" s="3" t="s">
        <v>701</v>
      </c>
      <c r="C373" s="12" t="s">
        <v>587</v>
      </c>
      <c r="D373">
        <v>1</v>
      </c>
      <c r="E373">
        <v>1</v>
      </c>
      <c r="G373" s="15">
        <v>2812</v>
      </c>
      <c r="H373" s="15">
        <v>2812</v>
      </c>
      <c r="I373" s="15">
        <v>2812</v>
      </c>
      <c r="K373">
        <v>41</v>
      </c>
      <c r="L373" t="s">
        <v>464</v>
      </c>
      <c r="M373" t="s">
        <v>574</v>
      </c>
      <c r="N373">
        <v>65</v>
      </c>
      <c r="O373" s="41">
        <f>525+530</f>
        <v>1055</v>
      </c>
      <c r="P373" s="41">
        <f>525+530</f>
        <v>1055</v>
      </c>
      <c r="Q373" s="41">
        <f>525+530</f>
        <v>1055</v>
      </c>
      <c r="R373" s="41" t="s">
        <v>1240</v>
      </c>
      <c r="S373" t="s">
        <v>1046</v>
      </c>
      <c r="T373" s="5">
        <v>1</v>
      </c>
      <c r="U373" s="5">
        <v>1</v>
      </c>
      <c r="V373">
        <v>80</v>
      </c>
      <c r="W373">
        <v>71</v>
      </c>
      <c r="Y373">
        <v>0.46331012256640425</v>
      </c>
      <c r="Z373">
        <v>0.46665785469682847</v>
      </c>
      <c r="AB373">
        <f t="shared" si="25"/>
        <v>1.4059999999999999</v>
      </c>
      <c r="AG373">
        <f t="shared" si="26"/>
        <v>19.132972042569968</v>
      </c>
    </row>
    <row r="374" spans="1:33" ht="90" x14ac:dyDescent="0.25">
      <c r="A374" s="3" t="s">
        <v>702</v>
      </c>
      <c r="B374" s="3" t="s">
        <v>703</v>
      </c>
      <c r="C374" s="12" t="s">
        <v>587</v>
      </c>
      <c r="D374">
        <v>1</v>
      </c>
      <c r="E374">
        <v>1</v>
      </c>
      <c r="G374" s="15">
        <v>3073</v>
      </c>
      <c r="H374" s="15">
        <v>3073</v>
      </c>
      <c r="I374" s="15">
        <v>3073</v>
      </c>
      <c r="K374">
        <v>46</v>
      </c>
      <c r="L374" t="s">
        <v>464</v>
      </c>
      <c r="M374" t="s">
        <v>574</v>
      </c>
      <c r="N374">
        <v>94</v>
      </c>
      <c r="O374" s="41">
        <f>450+455</f>
        <v>905</v>
      </c>
      <c r="P374" s="41">
        <f>450+455</f>
        <v>905</v>
      </c>
      <c r="Q374" s="41">
        <f>450+455</f>
        <v>905</v>
      </c>
      <c r="R374" s="41" t="s">
        <v>1258</v>
      </c>
      <c r="S374" t="s">
        <v>1047</v>
      </c>
      <c r="T374" s="5">
        <v>1</v>
      </c>
      <c r="U374" s="5">
        <v>1</v>
      </c>
      <c r="V374">
        <v>73</v>
      </c>
      <c r="W374">
        <v>54</v>
      </c>
      <c r="Y374">
        <v>0.50631294688711248</v>
      </c>
      <c r="Z374">
        <v>0.50997140379920125</v>
      </c>
      <c r="AB374">
        <f t="shared" si="25"/>
        <v>1.5365</v>
      </c>
      <c r="AG374">
        <f t="shared" si="26"/>
        <v>23.458684574763257</v>
      </c>
    </row>
    <row r="375" spans="1:33" ht="60" x14ac:dyDescent="0.25">
      <c r="A375" s="3" t="s">
        <v>704</v>
      </c>
      <c r="B375" s="3" t="s">
        <v>652</v>
      </c>
      <c r="C375" s="12" t="s">
        <v>577</v>
      </c>
      <c r="D375">
        <v>0</v>
      </c>
      <c r="E375">
        <v>1</v>
      </c>
      <c r="G375" s="15">
        <v>25007</v>
      </c>
      <c r="H375" s="15">
        <v>25007</v>
      </c>
      <c r="I375" s="15">
        <v>25007</v>
      </c>
      <c r="K375">
        <v>29</v>
      </c>
      <c r="L375" t="s">
        <v>192</v>
      </c>
      <c r="M375" t="s">
        <v>574</v>
      </c>
      <c r="N375">
        <v>12</v>
      </c>
      <c r="O375" s="41">
        <f>720+745</f>
        <v>1465</v>
      </c>
      <c r="P375" s="41">
        <f>720+745</f>
        <v>1465</v>
      </c>
      <c r="Q375" s="41">
        <f>720+745</f>
        <v>1465</v>
      </c>
      <c r="R375" s="41" t="s">
        <v>1259</v>
      </c>
      <c r="S375" t="s">
        <v>1048</v>
      </c>
      <c r="T375" s="5">
        <v>1</v>
      </c>
      <c r="U375" s="5">
        <v>1</v>
      </c>
      <c r="V375">
        <v>97</v>
      </c>
      <c r="W375">
        <v>96</v>
      </c>
      <c r="Y375">
        <v>4.1201978076166679</v>
      </c>
      <c r="Z375">
        <v>4.1499690513526275</v>
      </c>
      <c r="AB375">
        <f t="shared" si="25"/>
        <v>12.503500000000001</v>
      </c>
      <c r="AG375">
        <f t="shared" si="26"/>
        <v>120.3491024892262</v>
      </c>
    </row>
    <row r="376" spans="1:33" ht="60" x14ac:dyDescent="0.25">
      <c r="A376" s="3" t="s">
        <v>705</v>
      </c>
      <c r="B376" s="3" t="s">
        <v>652</v>
      </c>
      <c r="C376" s="12" t="s">
        <v>577</v>
      </c>
      <c r="D376">
        <v>0</v>
      </c>
      <c r="E376">
        <v>1</v>
      </c>
      <c r="G376" s="15">
        <v>3619</v>
      </c>
      <c r="H376" s="15">
        <v>3619</v>
      </c>
      <c r="I376" s="15">
        <v>3619</v>
      </c>
      <c r="K376">
        <v>26</v>
      </c>
      <c r="L376" t="s">
        <v>464</v>
      </c>
      <c r="M376" t="s">
        <v>574</v>
      </c>
      <c r="N376">
        <v>63</v>
      </c>
      <c r="O376" s="41">
        <f>535+545</f>
        <v>1080</v>
      </c>
      <c r="P376" s="41">
        <f>535+545</f>
        <v>1080</v>
      </c>
      <c r="Q376" s="41">
        <f>535+545</f>
        <v>1080</v>
      </c>
      <c r="R376" s="41" t="s">
        <v>1260</v>
      </c>
      <c r="S376" t="s">
        <v>1049</v>
      </c>
      <c r="T376" s="5">
        <v>1</v>
      </c>
      <c r="U376" s="5">
        <v>1</v>
      </c>
      <c r="V376">
        <v>79</v>
      </c>
      <c r="W376">
        <v>61</v>
      </c>
      <c r="Y376">
        <v>0.596272878224686</v>
      </c>
      <c r="Z376">
        <v>0.6005813570938201</v>
      </c>
      <c r="AB376">
        <f t="shared" si="25"/>
        <v>1.8095000000000001</v>
      </c>
      <c r="AG376">
        <f t="shared" si="26"/>
        <v>15.615115284439323</v>
      </c>
    </row>
    <row r="377" spans="1:33" ht="90" x14ac:dyDescent="0.25">
      <c r="A377" s="3" t="s">
        <v>706</v>
      </c>
      <c r="B377" s="3" t="s">
        <v>707</v>
      </c>
      <c r="C377" s="12" t="s">
        <v>577</v>
      </c>
      <c r="D377">
        <v>0</v>
      </c>
      <c r="E377">
        <v>1</v>
      </c>
      <c r="G377" s="15">
        <v>4967</v>
      </c>
      <c r="H377" s="15">
        <v>4967</v>
      </c>
      <c r="I377" s="15">
        <v>4967</v>
      </c>
      <c r="K377">
        <v>51</v>
      </c>
      <c r="L377" t="s">
        <v>464</v>
      </c>
      <c r="M377" t="s">
        <v>574</v>
      </c>
      <c r="N377">
        <v>80</v>
      </c>
      <c r="O377" s="41">
        <f>520+525</f>
        <v>1045</v>
      </c>
      <c r="P377" s="41">
        <f>520+525</f>
        <v>1045</v>
      </c>
      <c r="Q377" s="41">
        <f>520+525</f>
        <v>1045</v>
      </c>
      <c r="R377" s="41" t="s">
        <v>1261</v>
      </c>
      <c r="S377" t="s">
        <v>1050</v>
      </c>
      <c r="T377" s="5">
        <v>1</v>
      </c>
      <c r="U377" s="5">
        <v>1</v>
      </c>
      <c r="V377">
        <v>83</v>
      </c>
      <c r="W377">
        <v>62</v>
      </c>
      <c r="Y377">
        <v>0.81837175632550851</v>
      </c>
      <c r="Z377">
        <v>0.82428505130837371</v>
      </c>
      <c r="AB377">
        <f t="shared" si="25"/>
        <v>2.4834999999999998</v>
      </c>
      <c r="AG377">
        <f t="shared" si="26"/>
        <v>42.038537616727062</v>
      </c>
    </row>
    <row r="378" spans="1:33" ht="60" x14ac:dyDescent="0.25">
      <c r="A378" s="3" t="s">
        <v>708</v>
      </c>
      <c r="B378" s="3" t="s">
        <v>709</v>
      </c>
      <c r="C378" s="12" t="s">
        <v>587</v>
      </c>
      <c r="D378">
        <v>1</v>
      </c>
      <c r="E378">
        <v>1</v>
      </c>
      <c r="G378" s="15">
        <v>2449</v>
      </c>
      <c r="H378" s="15">
        <v>2449</v>
      </c>
      <c r="I378" s="15">
        <v>2449</v>
      </c>
      <c r="K378">
        <v>54</v>
      </c>
      <c r="L378" t="s">
        <v>464</v>
      </c>
      <c r="M378" t="s">
        <v>574</v>
      </c>
      <c r="N378">
        <v>76</v>
      </c>
      <c r="O378" s="41">
        <f>515+530</f>
        <v>1045</v>
      </c>
      <c r="P378" s="41">
        <f>515+530</f>
        <v>1045</v>
      </c>
      <c r="Q378" s="41">
        <f>515+530</f>
        <v>1045</v>
      </c>
      <c r="R378" s="41" t="s">
        <v>1262</v>
      </c>
      <c r="S378" t="s">
        <v>1051</v>
      </c>
      <c r="T378" s="5">
        <v>1</v>
      </c>
      <c r="U378" s="5">
        <v>1</v>
      </c>
      <c r="V378">
        <v>82</v>
      </c>
      <c r="W378">
        <v>72</v>
      </c>
      <c r="Y378">
        <v>0.40350159678702846</v>
      </c>
      <c r="Z378">
        <v>0.4064171714624939</v>
      </c>
      <c r="AB378">
        <f t="shared" si="25"/>
        <v>1.2244999999999999</v>
      </c>
      <c r="AG378">
        <f t="shared" si="26"/>
        <v>21.946527258974669</v>
      </c>
    </row>
    <row r="379" spans="1:33" ht="135" x14ac:dyDescent="0.25">
      <c r="A379" s="3" t="s">
        <v>710</v>
      </c>
      <c r="B379" s="12" t="s">
        <v>711</v>
      </c>
      <c r="C379" s="12" t="s">
        <v>712</v>
      </c>
      <c r="D379">
        <v>1</v>
      </c>
      <c r="E379">
        <v>1</v>
      </c>
      <c r="G379" s="15">
        <v>8916</v>
      </c>
      <c r="H379" s="15">
        <v>8916</v>
      </c>
      <c r="I379" s="15">
        <v>8916</v>
      </c>
      <c r="K379">
        <v>52</v>
      </c>
      <c r="L379" t="s">
        <v>713</v>
      </c>
      <c r="M379" t="s">
        <v>574</v>
      </c>
      <c r="N379">
        <v>79</v>
      </c>
      <c r="O379" s="41">
        <f>565+575</f>
        <v>1140</v>
      </c>
      <c r="P379" s="41">
        <f>565+575</f>
        <v>1140</v>
      </c>
      <c r="Q379" s="41">
        <f>565+575</f>
        <v>1140</v>
      </c>
      <c r="R379" s="41" t="s">
        <v>1263</v>
      </c>
      <c r="S379" t="s">
        <v>1052</v>
      </c>
      <c r="T379" s="5">
        <v>1</v>
      </c>
      <c r="U379" s="5">
        <v>1</v>
      </c>
      <c r="V379">
        <v>90</v>
      </c>
      <c r="W379">
        <v>73</v>
      </c>
      <c r="Y379">
        <v>1.4690160216223542</v>
      </c>
      <c r="Z379">
        <v>1.4796306658879526</v>
      </c>
      <c r="AB379">
        <f t="shared" si="25"/>
        <v>4.4580000000000002</v>
      </c>
      <c r="AG379">
        <f t="shared" si="26"/>
        <v>76.940794626173528</v>
      </c>
    </row>
    <row r="380" spans="1:33" ht="75" x14ac:dyDescent="0.25">
      <c r="A380" s="3" t="s">
        <v>714</v>
      </c>
      <c r="B380" s="3" t="s">
        <v>715</v>
      </c>
      <c r="C380" s="12" t="s">
        <v>712</v>
      </c>
      <c r="D380">
        <v>1</v>
      </c>
      <c r="E380">
        <v>1</v>
      </c>
      <c r="G380" s="15">
        <v>6070</v>
      </c>
      <c r="H380" s="15">
        <v>6070</v>
      </c>
      <c r="I380" s="15">
        <v>6070</v>
      </c>
      <c r="K380">
        <v>44</v>
      </c>
      <c r="L380" t="s">
        <v>464</v>
      </c>
      <c r="M380" t="s">
        <v>574</v>
      </c>
      <c r="N380">
        <v>75</v>
      </c>
      <c r="O380" s="41">
        <f>560+570</f>
        <v>1130</v>
      </c>
      <c r="P380" s="41">
        <f>560+570</f>
        <v>1130</v>
      </c>
      <c r="Q380" s="41">
        <f>560+570</f>
        <v>1130</v>
      </c>
      <c r="R380" s="41" t="s">
        <v>1235</v>
      </c>
      <c r="S380" t="s">
        <v>1053</v>
      </c>
      <c r="T380" s="5">
        <v>1</v>
      </c>
      <c r="U380" s="5">
        <v>1</v>
      </c>
      <c r="V380">
        <v>89</v>
      </c>
      <c r="W380">
        <v>80</v>
      </c>
      <c r="Y380">
        <v>1.0001039985697275</v>
      </c>
      <c r="Z380">
        <v>1.0073304331471369</v>
      </c>
      <c r="AB380">
        <f t="shared" si="25"/>
        <v>3.0350000000000001</v>
      </c>
      <c r="AG380">
        <f t="shared" si="26"/>
        <v>44.322539058474021</v>
      </c>
    </row>
    <row r="381" spans="1:33" ht="45" x14ac:dyDescent="0.25">
      <c r="A381" s="3" t="s">
        <v>716</v>
      </c>
      <c r="B381" s="3" t="s">
        <v>652</v>
      </c>
      <c r="C381" s="12" t="s">
        <v>577</v>
      </c>
      <c r="D381">
        <v>0</v>
      </c>
      <c r="E381">
        <v>1</v>
      </c>
      <c r="G381" s="15">
        <v>2868</v>
      </c>
      <c r="H381" s="15" t="s">
        <v>28</v>
      </c>
      <c r="I381" s="15" t="s">
        <v>28</v>
      </c>
      <c r="M381" t="s">
        <v>574</v>
      </c>
      <c r="V381">
        <v>88</v>
      </c>
      <c r="W381">
        <v>74</v>
      </c>
      <c r="Y381" t="s">
        <v>28</v>
      </c>
      <c r="Z381" t="s">
        <v>28</v>
      </c>
      <c r="AB381" t="s">
        <v>28</v>
      </c>
      <c r="AG381" t="s">
        <v>28</v>
      </c>
    </row>
    <row r="382" spans="1:33" ht="75" x14ac:dyDescent="0.25">
      <c r="A382" s="3" t="s">
        <v>717</v>
      </c>
      <c r="B382" s="3" t="s">
        <v>652</v>
      </c>
      <c r="C382" s="12" t="s">
        <v>577</v>
      </c>
      <c r="D382">
        <v>0</v>
      </c>
      <c r="E382">
        <v>1</v>
      </c>
      <c r="G382" s="15">
        <v>3555</v>
      </c>
      <c r="H382" s="15" t="s">
        <v>28</v>
      </c>
      <c r="I382" s="15" t="s">
        <v>28</v>
      </c>
      <c r="M382" t="s">
        <v>574</v>
      </c>
      <c r="Y382" t="s">
        <v>28</v>
      </c>
      <c r="Z382" t="s">
        <v>28</v>
      </c>
      <c r="AB382" t="s">
        <v>28</v>
      </c>
      <c r="AG382" t="s">
        <v>28</v>
      </c>
    </row>
    <row r="383" spans="1:33" ht="90" x14ac:dyDescent="0.25">
      <c r="A383" s="3" t="s">
        <v>718</v>
      </c>
      <c r="B383" s="3" t="s">
        <v>586</v>
      </c>
      <c r="C383" s="12" t="s">
        <v>587</v>
      </c>
      <c r="D383">
        <v>1</v>
      </c>
      <c r="E383">
        <v>1</v>
      </c>
      <c r="G383" s="15">
        <v>10605</v>
      </c>
      <c r="H383" s="15">
        <v>10605</v>
      </c>
      <c r="I383" s="15">
        <v>10605</v>
      </c>
      <c r="K383">
        <v>44</v>
      </c>
      <c r="L383" t="s">
        <v>713</v>
      </c>
      <c r="M383" t="s">
        <v>574</v>
      </c>
      <c r="N383">
        <v>49</v>
      </c>
      <c r="O383" s="41">
        <f>640+660</f>
        <v>1300</v>
      </c>
      <c r="P383" s="41">
        <f>640+660</f>
        <v>1300</v>
      </c>
      <c r="Q383" s="41">
        <f>640+660</f>
        <v>1300</v>
      </c>
      <c r="R383" s="41" t="s">
        <v>1264</v>
      </c>
      <c r="S383" t="s">
        <v>1054</v>
      </c>
      <c r="T383" s="5">
        <v>1</v>
      </c>
      <c r="U383" s="5">
        <v>1</v>
      </c>
      <c r="V383">
        <v>94</v>
      </c>
      <c r="W383">
        <v>91</v>
      </c>
      <c r="Y383">
        <v>1.7472986663644086</v>
      </c>
      <c r="Z383">
        <v>1.7599240928377902</v>
      </c>
      <c r="AB383">
        <f t="shared" ref="AB383:AB395" si="27">H383/$H$97</f>
        <v>5.3025000000000002</v>
      </c>
      <c r="AG383">
        <f>K383*Z383</f>
        <v>77.436660084862766</v>
      </c>
    </row>
    <row r="384" spans="1:33" ht="75" x14ac:dyDescent="0.25">
      <c r="A384" s="3" t="s">
        <v>719</v>
      </c>
      <c r="B384" s="3" t="s">
        <v>720</v>
      </c>
      <c r="C384" s="12" t="s">
        <v>619</v>
      </c>
      <c r="D384">
        <v>1</v>
      </c>
      <c r="E384">
        <v>1</v>
      </c>
      <c r="G384" s="15">
        <v>2516</v>
      </c>
      <c r="H384" s="15">
        <v>2516</v>
      </c>
      <c r="I384" s="15">
        <v>2516</v>
      </c>
      <c r="K384">
        <v>52</v>
      </c>
      <c r="L384" t="s">
        <v>464</v>
      </c>
      <c r="M384" t="s">
        <v>574</v>
      </c>
      <c r="N384">
        <v>83</v>
      </c>
      <c r="O384" s="41">
        <f>500+503</f>
        <v>1003</v>
      </c>
      <c r="P384" s="41">
        <f>500+503</f>
        <v>1003</v>
      </c>
      <c r="Q384" s="41">
        <f>500+503</f>
        <v>1003</v>
      </c>
      <c r="R384" s="41" t="s">
        <v>1265</v>
      </c>
      <c r="S384" t="s">
        <v>1055</v>
      </c>
      <c r="T384" s="5">
        <v>1</v>
      </c>
      <c r="U384" s="5">
        <v>1</v>
      </c>
      <c r="V384">
        <v>81</v>
      </c>
      <c r="W384">
        <v>59</v>
      </c>
      <c r="Y384">
        <v>0.41454063598046698</v>
      </c>
      <c r="Z384">
        <v>0.41753597525505703</v>
      </c>
      <c r="AB384">
        <f t="shared" si="27"/>
        <v>1.258</v>
      </c>
      <c r="AG384">
        <f>K384*Z384</f>
        <v>21.711870713262964</v>
      </c>
    </row>
    <row r="385" spans="1:33" ht="60" x14ac:dyDescent="0.25">
      <c r="A385" s="3" t="s">
        <v>721</v>
      </c>
      <c r="B385" s="3" t="s">
        <v>722</v>
      </c>
      <c r="C385" s="12" t="s">
        <v>577</v>
      </c>
      <c r="D385">
        <v>0</v>
      </c>
      <c r="E385">
        <v>1</v>
      </c>
      <c r="G385" s="15">
        <v>7000</v>
      </c>
      <c r="H385" s="15">
        <v>7000</v>
      </c>
      <c r="I385" s="15">
        <v>7000</v>
      </c>
      <c r="K385">
        <v>49</v>
      </c>
      <c r="L385" t="s">
        <v>464</v>
      </c>
      <c r="M385" t="s">
        <v>574</v>
      </c>
      <c r="N385">
        <v>67</v>
      </c>
      <c r="O385" s="41">
        <f>505+520</f>
        <v>1025</v>
      </c>
      <c r="P385" s="41">
        <f>505+520</f>
        <v>1025</v>
      </c>
      <c r="Q385" s="41">
        <f>505+520</f>
        <v>1025</v>
      </c>
      <c r="R385" s="41" t="s">
        <v>1193</v>
      </c>
      <c r="S385" t="s">
        <v>1056</v>
      </c>
      <c r="T385" s="5">
        <v>1</v>
      </c>
      <c r="U385" s="5">
        <v>1</v>
      </c>
      <c r="V385">
        <v>76</v>
      </c>
      <c r="W385">
        <v>53</v>
      </c>
      <c r="Y385">
        <v>1.1533324530458142</v>
      </c>
      <c r="Z385">
        <v>1.1616660678797295</v>
      </c>
      <c r="AB385">
        <f t="shared" si="27"/>
        <v>3.5</v>
      </c>
      <c r="AG385">
        <f>K385*Z385</f>
        <v>56.921637326106747</v>
      </c>
    </row>
    <row r="386" spans="1:33" ht="90" x14ac:dyDescent="0.25">
      <c r="A386" s="3" t="s">
        <v>723</v>
      </c>
      <c r="B386" s="12" t="s">
        <v>724</v>
      </c>
      <c r="D386">
        <v>0</v>
      </c>
      <c r="E386">
        <v>0</v>
      </c>
      <c r="G386" s="15">
        <v>10091</v>
      </c>
      <c r="H386" s="15">
        <v>10091</v>
      </c>
      <c r="I386" s="15">
        <v>10091</v>
      </c>
      <c r="K386">
        <v>38</v>
      </c>
      <c r="L386" t="s">
        <v>464</v>
      </c>
      <c r="M386" t="s">
        <v>574</v>
      </c>
      <c r="N386">
        <v>89</v>
      </c>
      <c r="O386" s="41">
        <f>490+490</f>
        <v>980</v>
      </c>
      <c r="P386" s="41">
        <f>490+490</f>
        <v>980</v>
      </c>
      <c r="Q386" s="41">
        <f>490+490</f>
        <v>980</v>
      </c>
      <c r="R386" s="41" t="s">
        <v>1266</v>
      </c>
      <c r="S386" t="s">
        <v>1057</v>
      </c>
      <c r="T386" s="5">
        <v>1</v>
      </c>
      <c r="U386" s="5">
        <v>1</v>
      </c>
      <c r="V386">
        <v>81</v>
      </c>
      <c r="W386">
        <v>62</v>
      </c>
      <c r="Y386">
        <v>1.6626111119550446</v>
      </c>
      <c r="Z386">
        <v>1.6746246129963358</v>
      </c>
      <c r="AB386">
        <f t="shared" si="27"/>
        <v>5.0454999999999997</v>
      </c>
      <c r="AG386">
        <f>K386*Z386</f>
        <v>63.635735293860762</v>
      </c>
    </row>
    <row r="387" spans="1:33" ht="90" x14ac:dyDescent="0.25">
      <c r="A387" s="3" t="s">
        <v>725</v>
      </c>
      <c r="B387" s="12" t="s">
        <v>726</v>
      </c>
      <c r="D387">
        <v>0</v>
      </c>
      <c r="E387">
        <v>0</v>
      </c>
      <c r="G387" s="15">
        <v>9402</v>
      </c>
      <c r="H387" s="15">
        <v>9402</v>
      </c>
      <c r="I387" s="15" t="s">
        <v>28</v>
      </c>
      <c r="K387">
        <v>49</v>
      </c>
      <c r="L387" t="s">
        <v>464</v>
      </c>
      <c r="M387" t="s">
        <v>574</v>
      </c>
      <c r="N387">
        <v>90</v>
      </c>
      <c r="O387" s="41">
        <f>460+460</f>
        <v>920</v>
      </c>
      <c r="P387" s="41">
        <f>460+460</f>
        <v>920</v>
      </c>
      <c r="Q387" s="41">
        <f>460+460</f>
        <v>920</v>
      </c>
      <c r="R387" s="41" t="s">
        <v>1267</v>
      </c>
      <c r="S387" t="s">
        <v>1058</v>
      </c>
      <c r="T387" s="5">
        <v>1</v>
      </c>
      <c r="U387" s="5" t="s">
        <v>28</v>
      </c>
      <c r="V387">
        <v>80</v>
      </c>
      <c r="Y387">
        <v>1.5490902462195351</v>
      </c>
      <c r="Z387" t="s">
        <v>28</v>
      </c>
      <c r="AB387">
        <f t="shared" si="27"/>
        <v>4.7009999999999996</v>
      </c>
      <c r="AG387" t="s">
        <v>28</v>
      </c>
    </row>
    <row r="388" spans="1:33" ht="75" x14ac:dyDescent="0.25">
      <c r="A388" s="3" t="s">
        <v>727</v>
      </c>
      <c r="B388" s="12" t="s">
        <v>728</v>
      </c>
      <c r="D388">
        <v>0</v>
      </c>
      <c r="E388">
        <v>0</v>
      </c>
      <c r="G388" s="15">
        <v>1586</v>
      </c>
      <c r="H388" s="15">
        <v>1586</v>
      </c>
      <c r="I388" s="15">
        <v>1586</v>
      </c>
      <c r="K388">
        <v>43</v>
      </c>
      <c r="L388" t="s">
        <v>625</v>
      </c>
      <c r="M388" t="s">
        <v>574</v>
      </c>
      <c r="N388">
        <v>88</v>
      </c>
      <c r="O388">
        <f>1593-12.418*N388+0.065*N388*N388</f>
        <v>1003.5760000000002</v>
      </c>
      <c r="P388">
        <f>1451-5.739*N388</f>
        <v>945.96800000000007</v>
      </c>
      <c r="T388" s="5" t="s">
        <v>28</v>
      </c>
      <c r="U388" s="5" t="s">
        <v>28</v>
      </c>
      <c r="V388">
        <v>54</v>
      </c>
      <c r="W388">
        <v>24</v>
      </c>
      <c r="Y388">
        <v>0.26131218150438018</v>
      </c>
      <c r="Z388">
        <v>0.26320034052246444</v>
      </c>
      <c r="AB388">
        <f t="shared" si="27"/>
        <v>0.79300000000000004</v>
      </c>
      <c r="AG388">
        <f t="shared" ref="AG388:AG402" si="28">K388*Z388</f>
        <v>11.317614642465971</v>
      </c>
    </row>
    <row r="389" spans="1:33" ht="75" x14ac:dyDescent="0.25">
      <c r="A389" s="3" t="s">
        <v>729</v>
      </c>
      <c r="B389" s="12" t="s">
        <v>730</v>
      </c>
      <c r="D389">
        <v>0</v>
      </c>
      <c r="E389">
        <v>0</v>
      </c>
      <c r="G389" s="15">
        <v>7315</v>
      </c>
      <c r="H389" s="15">
        <v>7315</v>
      </c>
      <c r="I389" s="15">
        <v>7315</v>
      </c>
      <c r="K389">
        <v>36</v>
      </c>
      <c r="L389" t="s">
        <v>464</v>
      </c>
      <c r="M389" t="s">
        <v>574</v>
      </c>
      <c r="N389">
        <v>93</v>
      </c>
      <c r="O389" s="41">
        <f t="shared" ref="O389:Q390" si="29">470+465</f>
        <v>935</v>
      </c>
      <c r="P389" s="41">
        <f t="shared" si="29"/>
        <v>935</v>
      </c>
      <c r="Q389" s="41">
        <f t="shared" si="29"/>
        <v>935</v>
      </c>
      <c r="R389" s="41" t="s">
        <v>1232</v>
      </c>
      <c r="S389" t="s">
        <v>1059</v>
      </c>
      <c r="T389" s="5">
        <v>1</v>
      </c>
      <c r="U389" s="5">
        <v>1</v>
      </c>
      <c r="V389">
        <v>70</v>
      </c>
      <c r="W389">
        <v>57</v>
      </c>
      <c r="Y389">
        <v>1.205232413432876</v>
      </c>
      <c r="Z389">
        <v>1.2139410409343172</v>
      </c>
      <c r="AB389">
        <f t="shared" si="27"/>
        <v>3.6575000000000002</v>
      </c>
      <c r="AG389">
        <f t="shared" si="28"/>
        <v>43.70187747363542</v>
      </c>
    </row>
    <row r="390" spans="1:33" ht="105" x14ac:dyDescent="0.25">
      <c r="A390" s="3" t="s">
        <v>731</v>
      </c>
      <c r="B390" s="12" t="s">
        <v>732</v>
      </c>
      <c r="D390">
        <v>0</v>
      </c>
      <c r="E390">
        <v>0</v>
      </c>
      <c r="G390" s="15">
        <v>7387</v>
      </c>
      <c r="H390" s="15">
        <v>7387</v>
      </c>
      <c r="I390" s="15">
        <v>7387</v>
      </c>
      <c r="K390">
        <v>50</v>
      </c>
      <c r="L390" t="s">
        <v>464</v>
      </c>
      <c r="M390" t="s">
        <v>574</v>
      </c>
      <c r="N390">
        <v>78</v>
      </c>
      <c r="O390" s="41">
        <f t="shared" si="29"/>
        <v>935</v>
      </c>
      <c r="P390" s="41">
        <f t="shared" si="29"/>
        <v>935</v>
      </c>
      <c r="Q390" s="41">
        <f t="shared" si="29"/>
        <v>935</v>
      </c>
      <c r="R390" s="41" t="s">
        <v>1232</v>
      </c>
      <c r="S390" s="7" t="s">
        <v>1060</v>
      </c>
      <c r="T390" s="5">
        <v>1</v>
      </c>
      <c r="U390" s="5">
        <v>1</v>
      </c>
      <c r="V390">
        <v>70</v>
      </c>
      <c r="W390">
        <v>59</v>
      </c>
      <c r="Y390">
        <v>1.2170952615213471</v>
      </c>
      <c r="Z390">
        <v>1.2258896062039373</v>
      </c>
      <c r="AB390">
        <f t="shared" si="27"/>
        <v>3.6934999999999998</v>
      </c>
      <c r="AG390">
        <f t="shared" si="28"/>
        <v>61.29448031019686</v>
      </c>
    </row>
    <row r="391" spans="1:33" ht="75" x14ac:dyDescent="0.25">
      <c r="A391" s="3" t="s">
        <v>733</v>
      </c>
      <c r="B391" s="12" t="s">
        <v>734</v>
      </c>
      <c r="D391">
        <v>0</v>
      </c>
      <c r="E391">
        <v>0</v>
      </c>
      <c r="G391" s="15">
        <v>8642</v>
      </c>
      <c r="H391" s="15">
        <v>8642</v>
      </c>
      <c r="I391" s="15">
        <v>8642</v>
      </c>
      <c r="K391">
        <v>41</v>
      </c>
      <c r="L391" t="s">
        <v>464</v>
      </c>
      <c r="M391" t="s">
        <v>574</v>
      </c>
      <c r="N391">
        <v>87</v>
      </c>
      <c r="O391" s="41">
        <f>480+470</f>
        <v>950</v>
      </c>
      <c r="P391" s="41">
        <f>480+470</f>
        <v>950</v>
      </c>
      <c r="Q391" s="41">
        <f>480+470</f>
        <v>950</v>
      </c>
      <c r="R391" s="41" t="s">
        <v>1268</v>
      </c>
      <c r="S391" t="s">
        <v>1061</v>
      </c>
      <c r="T391" s="5">
        <v>1</v>
      </c>
      <c r="U391" s="5">
        <v>1</v>
      </c>
      <c r="V391">
        <v>70</v>
      </c>
      <c r="W391">
        <v>44</v>
      </c>
      <c r="Y391">
        <v>1.423871294174561</v>
      </c>
      <c r="Z391">
        <v>1.4341597369452317</v>
      </c>
      <c r="AB391">
        <f t="shared" si="27"/>
        <v>4.3209999999999997</v>
      </c>
      <c r="AG391">
        <f t="shared" si="28"/>
        <v>58.800549214754497</v>
      </c>
    </row>
    <row r="392" spans="1:33" ht="75" x14ac:dyDescent="0.25">
      <c r="A392" s="3" t="s">
        <v>735</v>
      </c>
      <c r="B392" s="12" t="s">
        <v>736</v>
      </c>
      <c r="D392">
        <v>0</v>
      </c>
      <c r="E392">
        <v>0</v>
      </c>
      <c r="G392" s="15">
        <v>15126</v>
      </c>
      <c r="H392" s="15">
        <v>15126</v>
      </c>
      <c r="I392" s="15">
        <v>15126</v>
      </c>
      <c r="K392">
        <v>41</v>
      </c>
      <c r="L392" t="s">
        <v>464</v>
      </c>
      <c r="M392" t="s">
        <v>574</v>
      </c>
      <c r="N392">
        <v>90</v>
      </c>
      <c r="O392" s="41">
        <f>480+480</f>
        <v>960</v>
      </c>
      <c r="P392" s="41">
        <f>480+480</f>
        <v>960</v>
      </c>
      <c r="Q392" s="41">
        <f>480+480</f>
        <v>960</v>
      </c>
      <c r="R392" s="41" t="s">
        <v>1081</v>
      </c>
      <c r="S392" t="s">
        <v>1062</v>
      </c>
      <c r="T392" s="5">
        <v>1</v>
      </c>
      <c r="U392" s="5">
        <v>1</v>
      </c>
      <c r="V392">
        <v>73</v>
      </c>
      <c r="W392">
        <v>51</v>
      </c>
      <c r="Y392">
        <v>2.4921866692529981</v>
      </c>
      <c r="Z392">
        <v>2.510194420392684</v>
      </c>
      <c r="AB392">
        <f t="shared" si="27"/>
        <v>7.5629999999999997</v>
      </c>
      <c r="AG392">
        <f t="shared" si="28"/>
        <v>102.91797123610004</v>
      </c>
    </row>
    <row r="393" spans="1:33" ht="90" x14ac:dyDescent="0.25">
      <c r="A393" s="3" t="s">
        <v>737</v>
      </c>
      <c r="B393" s="12" t="s">
        <v>738</v>
      </c>
      <c r="D393">
        <v>0</v>
      </c>
      <c r="E393">
        <v>0</v>
      </c>
      <c r="G393" s="15">
        <v>10707</v>
      </c>
      <c r="H393" s="15">
        <v>10707</v>
      </c>
      <c r="I393" s="15">
        <v>10707</v>
      </c>
      <c r="K393">
        <v>38</v>
      </c>
      <c r="L393" t="s">
        <v>625</v>
      </c>
      <c r="M393" t="s">
        <v>574</v>
      </c>
      <c r="N393">
        <v>75</v>
      </c>
      <c r="O393" s="41">
        <f>480+475</f>
        <v>955</v>
      </c>
      <c r="P393" s="41">
        <f>480+475</f>
        <v>955</v>
      </c>
      <c r="Q393" s="41">
        <f>480+475</f>
        <v>955</v>
      </c>
      <c r="R393" s="41" t="s">
        <v>1269</v>
      </c>
      <c r="S393" t="s">
        <v>1063</v>
      </c>
      <c r="T393" s="5">
        <v>1</v>
      </c>
      <c r="U393" s="5">
        <v>1</v>
      </c>
      <c r="V393">
        <v>73</v>
      </c>
      <c r="W393">
        <v>56</v>
      </c>
      <c r="Y393">
        <v>1.7641043678230761</v>
      </c>
      <c r="Z393">
        <v>1.7768512269697518</v>
      </c>
      <c r="AB393">
        <f t="shared" si="27"/>
        <v>5.3535000000000004</v>
      </c>
      <c r="AG393">
        <f t="shared" si="28"/>
        <v>67.520346624850575</v>
      </c>
    </row>
    <row r="394" spans="1:33" ht="90" x14ac:dyDescent="0.25">
      <c r="A394" s="3" t="s">
        <v>739</v>
      </c>
      <c r="B394" s="12" t="s">
        <v>740</v>
      </c>
      <c r="D394">
        <v>0</v>
      </c>
      <c r="E394">
        <v>0</v>
      </c>
      <c r="G394" s="15">
        <v>5450</v>
      </c>
      <c r="H394" s="15">
        <v>5450</v>
      </c>
      <c r="I394" s="15">
        <v>5450</v>
      </c>
      <c r="K394">
        <v>48</v>
      </c>
      <c r="L394" t="s">
        <v>464</v>
      </c>
      <c r="M394" t="s">
        <v>574</v>
      </c>
      <c r="N394">
        <v>86</v>
      </c>
      <c r="O394" s="41">
        <f>470+480</f>
        <v>950</v>
      </c>
      <c r="P394" s="41">
        <f>470+480</f>
        <v>950</v>
      </c>
      <c r="Q394" s="41">
        <f>470+480</f>
        <v>950</v>
      </c>
      <c r="R394" s="41" t="s">
        <v>1270</v>
      </c>
      <c r="S394" t="s">
        <v>1064</v>
      </c>
      <c r="T394" s="5">
        <v>1</v>
      </c>
      <c r="U394" s="5">
        <v>1</v>
      </c>
      <c r="V394">
        <v>68</v>
      </c>
      <c r="W394">
        <v>48</v>
      </c>
      <c r="Y394">
        <v>0.89795169558566967</v>
      </c>
      <c r="Z394">
        <v>0.90444000999207508</v>
      </c>
      <c r="AB394">
        <f t="shared" si="27"/>
        <v>2.7250000000000001</v>
      </c>
      <c r="AG394">
        <f t="shared" si="28"/>
        <v>43.413120479619607</v>
      </c>
    </row>
    <row r="395" spans="1:33" ht="90" x14ac:dyDescent="0.25">
      <c r="A395" s="3" t="s">
        <v>741</v>
      </c>
      <c r="B395" s="12" t="s">
        <v>742</v>
      </c>
      <c r="D395">
        <v>0</v>
      </c>
      <c r="E395">
        <v>0</v>
      </c>
      <c r="G395" s="15">
        <v>3569</v>
      </c>
      <c r="H395" s="15">
        <v>3569</v>
      </c>
      <c r="I395" s="15">
        <v>3569</v>
      </c>
      <c r="K395">
        <v>53</v>
      </c>
      <c r="L395" t="s">
        <v>464</v>
      </c>
      <c r="M395" t="s">
        <v>574</v>
      </c>
      <c r="N395">
        <v>92</v>
      </c>
      <c r="O395" s="41">
        <f>480+480</f>
        <v>960</v>
      </c>
      <c r="P395" s="41">
        <f>480+480</f>
        <v>960</v>
      </c>
      <c r="Q395" s="41">
        <f>480+480</f>
        <v>960</v>
      </c>
      <c r="R395" s="41" t="s">
        <v>1081</v>
      </c>
      <c r="S395" t="s">
        <v>1065</v>
      </c>
      <c r="T395" s="5">
        <v>1</v>
      </c>
      <c r="U395" s="5">
        <v>1</v>
      </c>
      <c r="V395">
        <v>72</v>
      </c>
      <c r="W395">
        <v>53</v>
      </c>
      <c r="Y395">
        <v>0.5880347892743587</v>
      </c>
      <c r="Z395">
        <v>0.59228374232325065</v>
      </c>
      <c r="AB395">
        <f t="shared" si="27"/>
        <v>1.7845</v>
      </c>
      <c r="AG395">
        <f t="shared" si="28"/>
        <v>31.391038343132283</v>
      </c>
    </row>
    <row r="396" spans="1:33" ht="90" x14ac:dyDescent="0.25">
      <c r="A396" s="3" t="s">
        <v>743</v>
      </c>
      <c r="B396" s="12" t="s">
        <v>744</v>
      </c>
      <c r="D396">
        <v>0</v>
      </c>
      <c r="E396">
        <v>0</v>
      </c>
      <c r="G396" s="15">
        <v>8729</v>
      </c>
      <c r="H396" s="15" t="s">
        <v>28</v>
      </c>
      <c r="I396" s="15">
        <v>8729</v>
      </c>
      <c r="K396">
        <v>39</v>
      </c>
      <c r="L396" t="s">
        <v>464</v>
      </c>
      <c r="M396" t="s">
        <v>574</v>
      </c>
      <c r="N396">
        <v>65</v>
      </c>
      <c r="O396" s="41">
        <f>500+500</f>
        <v>1000</v>
      </c>
      <c r="P396" s="41">
        <f>500+500</f>
        <v>1000</v>
      </c>
      <c r="Q396" s="41">
        <f>500+500</f>
        <v>1000</v>
      </c>
      <c r="R396" s="41" t="s">
        <v>1271</v>
      </c>
      <c r="S396" t="s">
        <v>1066</v>
      </c>
      <c r="U396" s="5">
        <v>1</v>
      </c>
      <c r="W396">
        <v>65</v>
      </c>
      <c r="Y396" t="s">
        <v>28</v>
      </c>
      <c r="Z396">
        <v>1.4485975866460226</v>
      </c>
      <c r="AB396" t="s">
        <v>28</v>
      </c>
      <c r="AG396">
        <f t="shared" si="28"/>
        <v>56.495305879194881</v>
      </c>
    </row>
    <row r="397" spans="1:33" ht="90" x14ac:dyDescent="0.25">
      <c r="A397" s="3" t="s">
        <v>745</v>
      </c>
      <c r="B397" s="12" t="s">
        <v>746</v>
      </c>
      <c r="D397">
        <v>0</v>
      </c>
      <c r="E397">
        <v>0</v>
      </c>
      <c r="G397" s="15">
        <v>8326</v>
      </c>
      <c r="H397" s="15">
        <v>8326</v>
      </c>
      <c r="I397" s="15">
        <v>8326</v>
      </c>
      <c r="K397">
        <v>39</v>
      </c>
      <c r="L397" t="s">
        <v>464</v>
      </c>
      <c r="M397" t="s">
        <v>574</v>
      </c>
      <c r="N397">
        <v>83</v>
      </c>
      <c r="O397" s="41">
        <f>485+495</f>
        <v>980</v>
      </c>
      <c r="P397" s="41">
        <f>485+495</f>
        <v>980</v>
      </c>
      <c r="Q397" s="41">
        <f>485+495</f>
        <v>980</v>
      </c>
      <c r="R397" s="41" t="s">
        <v>1152</v>
      </c>
      <c r="S397" t="s">
        <v>1067</v>
      </c>
      <c r="T397" s="5">
        <v>1</v>
      </c>
      <c r="U397" s="5">
        <v>1</v>
      </c>
      <c r="V397">
        <v>72</v>
      </c>
      <c r="W397">
        <v>55</v>
      </c>
      <c r="Y397">
        <v>1.3718065720084929</v>
      </c>
      <c r="Z397">
        <v>1.3817188115952326</v>
      </c>
      <c r="AB397">
        <f t="shared" ref="AB397:AB402" si="30">H397/$H$97</f>
        <v>4.1630000000000003</v>
      </c>
      <c r="AG397">
        <f t="shared" si="28"/>
        <v>53.887033652214072</v>
      </c>
    </row>
    <row r="398" spans="1:33" ht="90" x14ac:dyDescent="0.25">
      <c r="A398" s="3" t="s">
        <v>747</v>
      </c>
      <c r="B398" s="12" t="s">
        <v>748</v>
      </c>
      <c r="D398">
        <v>0</v>
      </c>
      <c r="E398">
        <v>0</v>
      </c>
      <c r="G398" s="15">
        <v>8852</v>
      </c>
      <c r="H398" s="15">
        <v>8852</v>
      </c>
      <c r="I398" s="15">
        <v>8852</v>
      </c>
      <c r="K398">
        <v>51</v>
      </c>
      <c r="M398" t="s">
        <v>574</v>
      </c>
      <c r="N398">
        <v>67</v>
      </c>
      <c r="O398" s="41">
        <f>495+500</f>
        <v>995</v>
      </c>
      <c r="P398" s="41">
        <f>495+500</f>
        <v>995</v>
      </c>
      <c r="Q398" s="41">
        <f>495+500</f>
        <v>995</v>
      </c>
      <c r="R398" s="41" t="s">
        <v>1127</v>
      </c>
      <c r="S398" t="s">
        <v>1068</v>
      </c>
      <c r="T398" s="5">
        <v>1</v>
      </c>
      <c r="U398" s="5">
        <v>1</v>
      </c>
      <c r="V398">
        <v>82</v>
      </c>
      <c r="W398">
        <v>68</v>
      </c>
      <c r="Y398">
        <v>1.4584712677659355</v>
      </c>
      <c r="Z398">
        <v>1.4690097189816236</v>
      </c>
      <c r="AB398">
        <f t="shared" si="30"/>
        <v>4.4260000000000002</v>
      </c>
      <c r="AG398">
        <f t="shared" si="28"/>
        <v>74.919495668062808</v>
      </c>
    </row>
    <row r="399" spans="1:33" ht="90" x14ac:dyDescent="0.25">
      <c r="A399" s="3" t="s">
        <v>749</v>
      </c>
      <c r="B399" s="12" t="s">
        <v>750</v>
      </c>
      <c r="D399">
        <v>0</v>
      </c>
      <c r="E399">
        <v>0</v>
      </c>
      <c r="G399" s="15">
        <v>14490</v>
      </c>
      <c r="H399" s="15">
        <v>14490</v>
      </c>
      <c r="I399" s="15">
        <v>14490</v>
      </c>
      <c r="K399">
        <v>42</v>
      </c>
      <c r="L399" t="s">
        <v>672</v>
      </c>
      <c r="M399" t="s">
        <v>574</v>
      </c>
      <c r="N399">
        <v>52</v>
      </c>
      <c r="O399" s="41">
        <f>535+535</f>
        <v>1070</v>
      </c>
      <c r="P399" s="41">
        <f>535+535</f>
        <v>1070</v>
      </c>
      <c r="Q399" s="41">
        <f>535+535</f>
        <v>1070</v>
      </c>
      <c r="R399" s="41" t="s">
        <v>1100</v>
      </c>
      <c r="S399" t="s">
        <v>1069</v>
      </c>
      <c r="T399" s="5">
        <v>1</v>
      </c>
      <c r="U399" s="5">
        <v>1</v>
      </c>
      <c r="V399">
        <v>88</v>
      </c>
      <c r="W399">
        <v>67</v>
      </c>
      <c r="Y399">
        <v>2.3873981778048354</v>
      </c>
      <c r="Z399">
        <v>2.4046487605110398</v>
      </c>
      <c r="AB399">
        <f t="shared" si="30"/>
        <v>7.2450000000000001</v>
      </c>
      <c r="AG399">
        <f t="shared" si="28"/>
        <v>100.99524794146367</v>
      </c>
    </row>
    <row r="400" spans="1:33" ht="75" x14ac:dyDescent="0.25">
      <c r="A400" s="3" t="s">
        <v>751</v>
      </c>
      <c r="B400" s="3" t="s">
        <v>752</v>
      </c>
      <c r="C400" s="12" t="s">
        <v>753</v>
      </c>
      <c r="D400">
        <v>0</v>
      </c>
      <c r="E400">
        <v>0</v>
      </c>
      <c r="G400" s="15">
        <v>45233</v>
      </c>
      <c r="H400" s="15">
        <v>45233</v>
      </c>
      <c r="I400" s="15">
        <v>45233</v>
      </c>
      <c r="K400">
        <v>53</v>
      </c>
      <c r="L400" t="s">
        <v>625</v>
      </c>
      <c r="M400" t="s">
        <v>574</v>
      </c>
      <c r="N400">
        <v>55</v>
      </c>
      <c r="O400" s="41">
        <f>580+615</f>
        <v>1195</v>
      </c>
      <c r="P400" s="41">
        <f>580+615</f>
        <v>1195</v>
      </c>
      <c r="Q400" s="41">
        <f>580+615</f>
        <v>1195</v>
      </c>
      <c r="R400" s="41" t="s">
        <v>1272</v>
      </c>
      <c r="S400" t="s">
        <v>1070</v>
      </c>
      <c r="T400" s="5">
        <v>1</v>
      </c>
      <c r="U400" s="5">
        <v>1</v>
      </c>
      <c r="V400">
        <v>93</v>
      </c>
      <c r="W400">
        <v>86</v>
      </c>
      <c r="Y400">
        <v>7.4526695498030451</v>
      </c>
      <c r="Z400">
        <v>7.5065201783434006</v>
      </c>
      <c r="AB400">
        <f t="shared" si="30"/>
        <v>22.616499999999998</v>
      </c>
      <c r="AG400">
        <f t="shared" si="28"/>
        <v>397.84556945220021</v>
      </c>
    </row>
    <row r="401" spans="1:33" ht="75" x14ac:dyDescent="0.25">
      <c r="A401" s="3" t="s">
        <v>754</v>
      </c>
      <c r="B401" s="3" t="s">
        <v>592</v>
      </c>
      <c r="C401" s="12" t="s">
        <v>753</v>
      </c>
      <c r="D401">
        <v>0</v>
      </c>
      <c r="E401">
        <v>0</v>
      </c>
      <c r="G401" s="15">
        <v>28823</v>
      </c>
      <c r="H401" s="15">
        <v>28823</v>
      </c>
      <c r="I401" s="15">
        <v>28823</v>
      </c>
      <c r="K401">
        <v>43</v>
      </c>
      <c r="L401" t="s">
        <v>672</v>
      </c>
      <c r="M401" t="s">
        <v>574</v>
      </c>
      <c r="N401">
        <v>54</v>
      </c>
      <c r="O401" s="41">
        <f>620+645</f>
        <v>1265</v>
      </c>
      <c r="P401" s="41">
        <f>620+645</f>
        <v>1265</v>
      </c>
      <c r="Q401" s="41">
        <f>620+645</f>
        <v>1265</v>
      </c>
      <c r="R401" s="41" t="s">
        <v>1273</v>
      </c>
      <c r="S401" s="7" t="s">
        <v>1071</v>
      </c>
      <c r="T401" s="5">
        <v>1</v>
      </c>
      <c r="U401" s="5">
        <v>1</v>
      </c>
      <c r="V401">
        <v>92</v>
      </c>
      <c r="W401">
        <v>79</v>
      </c>
      <c r="Y401">
        <v>4.7489287563056433</v>
      </c>
      <c r="Z401">
        <v>4.7832430106424919</v>
      </c>
      <c r="AB401">
        <f t="shared" si="30"/>
        <v>14.4115</v>
      </c>
      <c r="AG401">
        <f t="shared" si="28"/>
        <v>205.67944945762716</v>
      </c>
    </row>
    <row r="402" spans="1:33" ht="45" x14ac:dyDescent="0.25">
      <c r="A402" s="3" t="s">
        <v>755</v>
      </c>
      <c r="B402" s="3" t="s">
        <v>652</v>
      </c>
      <c r="C402" s="12" t="s">
        <v>753</v>
      </c>
      <c r="D402">
        <v>0</v>
      </c>
      <c r="E402">
        <v>0</v>
      </c>
      <c r="G402" s="15">
        <v>37367</v>
      </c>
      <c r="H402" s="15">
        <v>37367</v>
      </c>
      <c r="I402" s="15">
        <v>37367</v>
      </c>
      <c r="K402">
        <v>46</v>
      </c>
      <c r="L402" t="s">
        <v>464</v>
      </c>
      <c r="M402" t="s">
        <v>574</v>
      </c>
      <c r="N402">
        <v>64</v>
      </c>
      <c r="O402" s="41">
        <f>568+556</f>
        <v>1124</v>
      </c>
      <c r="P402" s="41">
        <f>568+556</f>
        <v>1124</v>
      </c>
      <c r="Q402" s="41">
        <f>568+556</f>
        <v>1124</v>
      </c>
      <c r="R402" s="41" t="s">
        <v>1274</v>
      </c>
      <c r="S402" s="7" t="s">
        <v>1072</v>
      </c>
      <c r="T402" s="5">
        <v>1</v>
      </c>
      <c r="U402" s="5">
        <v>1</v>
      </c>
      <c r="V402">
        <v>89</v>
      </c>
      <c r="W402">
        <v>66</v>
      </c>
      <c r="Y402">
        <v>6.1566533961375631</v>
      </c>
      <c r="Z402">
        <v>6.2011394226374073</v>
      </c>
      <c r="AB402">
        <f t="shared" si="30"/>
        <v>18.683499999999999</v>
      </c>
      <c r="AG402">
        <f t="shared" si="28"/>
        <v>285.25241344132075</v>
      </c>
    </row>
    <row r="403" spans="1:33" x14ac:dyDescent="0.25">
      <c r="G403" s="21"/>
      <c r="H403" s="21"/>
      <c r="I403" s="21"/>
      <c r="T403">
        <f>SUM(T311:T402)</f>
        <v>72</v>
      </c>
      <c r="U403">
        <f>SUM(U311:U402)</f>
        <v>71</v>
      </c>
      <c r="V403" t="s">
        <v>756</v>
      </c>
      <c r="W403">
        <v>157</v>
      </c>
      <c r="X403">
        <v>162</v>
      </c>
    </row>
    <row r="404" spans="1:33" x14ac:dyDescent="0.25">
      <c r="T404">
        <f>SUM(T286:T402)</f>
        <v>91</v>
      </c>
      <c r="U404">
        <f>SUM(U286:U402)</f>
        <v>90</v>
      </c>
      <c r="V404" t="s">
        <v>757</v>
      </c>
      <c r="W404">
        <v>182</v>
      </c>
      <c r="X404">
        <v>186</v>
      </c>
      <c r="Y404" t="s">
        <v>28</v>
      </c>
      <c r="Z404" t="s">
        <v>28</v>
      </c>
    </row>
    <row r="406" spans="1:33" x14ac:dyDescent="0.25">
      <c r="V406" t="s">
        <v>574</v>
      </c>
      <c r="W406">
        <f>392-313</f>
        <v>79</v>
      </c>
    </row>
    <row r="408" spans="1:33" x14ac:dyDescent="0.25">
      <c r="T408">
        <f>X403+U404</f>
        <v>252</v>
      </c>
      <c r="V408" t="s">
        <v>763</v>
      </c>
      <c r="W408">
        <f>W404+W406-6+1</f>
        <v>256</v>
      </c>
    </row>
    <row r="409" spans="1:33" x14ac:dyDescent="0.25">
      <c r="G409" s="21"/>
      <c r="H409" s="21"/>
      <c r="I409" s="21"/>
      <c r="W409" t="s">
        <v>28</v>
      </c>
    </row>
    <row r="410" spans="1:33" x14ac:dyDescent="0.25">
      <c r="T410">
        <f>W403+T404</f>
        <v>248</v>
      </c>
      <c r="U410" t="s">
        <v>28</v>
      </c>
      <c r="V410" t="s">
        <v>764</v>
      </c>
      <c r="W410">
        <f>W404+W406-10+1</f>
        <v>252</v>
      </c>
    </row>
    <row r="412" spans="1:33" ht="60" x14ac:dyDescent="0.25">
      <c r="A412" s="36" t="s">
        <v>767</v>
      </c>
      <c r="B412" s="36" t="s">
        <v>768</v>
      </c>
      <c r="C412" s="36"/>
      <c r="D412">
        <v>0</v>
      </c>
      <c r="E412">
        <v>0</v>
      </c>
      <c r="G412" s="35">
        <v>4397</v>
      </c>
      <c r="H412" s="35" t="s">
        <v>28</v>
      </c>
      <c r="I412" s="35">
        <v>4397</v>
      </c>
      <c r="K412">
        <v>44</v>
      </c>
      <c r="L412" t="s">
        <v>464</v>
      </c>
      <c r="M412" t="s">
        <v>766</v>
      </c>
      <c r="N412">
        <v>44</v>
      </c>
      <c r="O412">
        <f>445+445</f>
        <v>890</v>
      </c>
      <c r="P412">
        <f>445+445</f>
        <v>890</v>
      </c>
      <c r="Q412">
        <f>445+445</f>
        <v>890</v>
      </c>
      <c r="R412" t="s">
        <v>1073</v>
      </c>
      <c r="S412" t="s">
        <v>1074</v>
      </c>
      <c r="T412" t="s">
        <v>28</v>
      </c>
      <c r="U412">
        <v>1</v>
      </c>
      <c r="V412" t="s">
        <v>287</v>
      </c>
      <c r="W412">
        <v>34</v>
      </c>
      <c r="Y412" t="s">
        <v>28</v>
      </c>
      <c r="Z412">
        <v>0.72969224292388146</v>
      </c>
      <c r="AG412">
        <f t="shared" ref="AG412:AG428" si="31">K412*Z412</f>
        <v>32.106458688650783</v>
      </c>
    </row>
    <row r="413" spans="1:33" ht="60" x14ac:dyDescent="0.25">
      <c r="A413" s="36" t="s">
        <v>765</v>
      </c>
      <c r="B413" s="36" t="s">
        <v>527</v>
      </c>
      <c r="D413">
        <v>0</v>
      </c>
      <c r="E413">
        <v>0</v>
      </c>
      <c r="G413" s="35">
        <v>22680</v>
      </c>
      <c r="H413" s="35">
        <v>22680</v>
      </c>
      <c r="I413" s="35">
        <v>22680</v>
      </c>
      <c r="J413" s="35"/>
      <c r="K413">
        <v>44</v>
      </c>
      <c r="L413" t="s">
        <v>464</v>
      </c>
      <c r="M413" t="s">
        <v>766</v>
      </c>
      <c r="N413">
        <v>66</v>
      </c>
      <c r="O413">
        <f>590+605</f>
        <v>1195</v>
      </c>
      <c r="P413">
        <f>590+605</f>
        <v>1195</v>
      </c>
      <c r="Q413">
        <f>590+605</f>
        <v>1195</v>
      </c>
      <c r="R413" t="s">
        <v>1075</v>
      </c>
      <c r="S413" t="s">
        <v>1076</v>
      </c>
      <c r="T413">
        <v>1</v>
      </c>
      <c r="U413">
        <v>1</v>
      </c>
      <c r="V413">
        <v>91</v>
      </c>
      <c r="W413">
        <v>81</v>
      </c>
      <c r="Y413">
        <v>3.7367971478684381</v>
      </c>
      <c r="Z413">
        <v>3.7637980599303233</v>
      </c>
      <c r="AG413">
        <f t="shared" si="31"/>
        <v>165.60711463693423</v>
      </c>
    </row>
    <row r="414" spans="1:33" x14ac:dyDescent="0.25">
      <c r="D414">
        <v>0</v>
      </c>
      <c r="E414">
        <v>0</v>
      </c>
      <c r="Y414">
        <v>0</v>
      </c>
      <c r="Z414">
        <v>0</v>
      </c>
      <c r="AG414">
        <f t="shared" si="31"/>
        <v>0</v>
      </c>
    </row>
    <row r="415" spans="1:33" x14ac:dyDescent="0.25">
      <c r="D415">
        <v>0</v>
      </c>
      <c r="E415">
        <v>0</v>
      </c>
      <c r="Y415">
        <v>0</v>
      </c>
      <c r="Z415">
        <v>0</v>
      </c>
      <c r="AG415">
        <f t="shared" si="31"/>
        <v>0</v>
      </c>
    </row>
    <row r="416" spans="1:33" ht="60" x14ac:dyDescent="0.25">
      <c r="A416" s="33" t="s">
        <v>769</v>
      </c>
      <c r="B416" s="33" t="s">
        <v>770</v>
      </c>
      <c r="D416">
        <v>0</v>
      </c>
      <c r="E416">
        <v>0</v>
      </c>
      <c r="F416" s="12">
        <v>1865</v>
      </c>
      <c r="G416" s="34">
        <v>5279</v>
      </c>
      <c r="H416" s="34">
        <v>5279</v>
      </c>
      <c r="I416" s="34">
        <v>5279</v>
      </c>
      <c r="K416">
        <v>38</v>
      </c>
      <c r="L416" t="s">
        <v>672</v>
      </c>
      <c r="M416" t="s">
        <v>771</v>
      </c>
      <c r="N416">
        <v>54</v>
      </c>
      <c r="O416">
        <f>450+435</f>
        <v>885</v>
      </c>
      <c r="P416">
        <f>450+435</f>
        <v>885</v>
      </c>
      <c r="Q416">
        <f>450+435</f>
        <v>885</v>
      </c>
      <c r="R416" t="s">
        <v>1077</v>
      </c>
      <c r="S416" t="s">
        <v>1078</v>
      </c>
      <c r="T416">
        <v>1</v>
      </c>
      <c r="U416">
        <v>1</v>
      </c>
      <c r="V416">
        <v>70</v>
      </c>
      <c r="W416">
        <v>39</v>
      </c>
      <c r="Y416">
        <v>0.86977743137555052</v>
      </c>
      <c r="Z416">
        <v>0.87606216747672738</v>
      </c>
      <c r="AG416">
        <f t="shared" si="31"/>
        <v>33.290362364115637</v>
      </c>
    </row>
    <row r="417" spans="1:33" ht="60" x14ac:dyDescent="0.25">
      <c r="A417" s="33" t="s">
        <v>772</v>
      </c>
      <c r="B417" s="33" t="s">
        <v>773</v>
      </c>
      <c r="D417">
        <v>0</v>
      </c>
      <c r="E417">
        <v>0</v>
      </c>
      <c r="F417" s="12">
        <v>1900</v>
      </c>
      <c r="G417" s="34">
        <v>4357</v>
      </c>
      <c r="H417" s="34">
        <v>4357</v>
      </c>
      <c r="I417" s="34">
        <v>4357</v>
      </c>
      <c r="K417">
        <v>38</v>
      </c>
      <c r="L417" t="s">
        <v>672</v>
      </c>
      <c r="M417" t="s">
        <v>771</v>
      </c>
      <c r="N417">
        <v>42</v>
      </c>
      <c r="O417">
        <f>435+455</f>
        <v>890</v>
      </c>
      <c r="P417">
        <f>435+455</f>
        <v>890</v>
      </c>
      <c r="Q417">
        <f>435+455</f>
        <v>890</v>
      </c>
      <c r="R417" t="s">
        <v>1079</v>
      </c>
      <c r="S417" t="s">
        <v>1080</v>
      </c>
      <c r="T417">
        <v>1</v>
      </c>
      <c r="U417">
        <v>1</v>
      </c>
      <c r="V417">
        <v>61</v>
      </c>
      <c r="W417">
        <v>16</v>
      </c>
      <c r="Y417">
        <v>0.71786707113151615</v>
      </c>
      <c r="Z417">
        <v>0.72305415110742588</v>
      </c>
      <c r="AG417">
        <f t="shared" si="31"/>
        <v>27.476057742082183</v>
      </c>
    </row>
    <row r="418" spans="1:33" ht="60" x14ac:dyDescent="0.25">
      <c r="A418" s="33" t="s">
        <v>774</v>
      </c>
      <c r="B418" s="33" t="s">
        <v>775</v>
      </c>
      <c r="D418">
        <v>0</v>
      </c>
      <c r="E418">
        <v>0</v>
      </c>
      <c r="F418" s="12">
        <v>1899</v>
      </c>
      <c r="G418" s="34">
        <v>5638</v>
      </c>
      <c r="H418" s="34">
        <v>5638</v>
      </c>
      <c r="I418" s="34">
        <v>5638</v>
      </c>
      <c r="K418">
        <v>44</v>
      </c>
      <c r="L418" t="s">
        <v>672</v>
      </c>
      <c r="M418" t="s">
        <v>771</v>
      </c>
      <c r="N418">
        <v>59</v>
      </c>
      <c r="O418">
        <f>480+480</f>
        <v>960</v>
      </c>
      <c r="P418">
        <f>480+480</f>
        <v>960</v>
      </c>
      <c r="Q418">
        <f>480+480</f>
        <v>960</v>
      </c>
      <c r="R418" t="s">
        <v>1081</v>
      </c>
      <c r="S418" t="s">
        <v>1082</v>
      </c>
      <c r="T418">
        <v>1</v>
      </c>
      <c r="U418">
        <v>1</v>
      </c>
      <c r="V418">
        <v>77</v>
      </c>
      <c r="W418">
        <v>56</v>
      </c>
      <c r="Y418">
        <v>0.92892691003890016</v>
      </c>
      <c r="Z418">
        <v>0.93563904152941635</v>
      </c>
      <c r="AG418">
        <f t="shared" si="31"/>
        <v>41.168117827294317</v>
      </c>
    </row>
    <row r="419" spans="1:33" ht="60" x14ac:dyDescent="0.25">
      <c r="A419" s="33" t="s">
        <v>776</v>
      </c>
      <c r="B419" s="33" t="s">
        <v>773</v>
      </c>
      <c r="D419">
        <v>0</v>
      </c>
      <c r="E419">
        <v>0</v>
      </c>
      <c r="F419" s="12">
        <v>1867</v>
      </c>
      <c r="G419" s="34">
        <v>6616</v>
      </c>
      <c r="H419" s="34">
        <v>6616</v>
      </c>
      <c r="I419" s="34">
        <v>6616</v>
      </c>
      <c r="M419" t="s">
        <v>771</v>
      </c>
      <c r="N419">
        <v>65</v>
      </c>
      <c r="O419">
        <f>440+445</f>
        <v>885</v>
      </c>
      <c r="P419">
        <f>440+445</f>
        <v>885</v>
      </c>
      <c r="Q419">
        <f>440+445</f>
        <v>885</v>
      </c>
      <c r="R419" t="s">
        <v>1083</v>
      </c>
      <c r="S419" t="s">
        <v>1084</v>
      </c>
      <c r="T419">
        <v>1</v>
      </c>
      <c r="U419">
        <v>1</v>
      </c>
      <c r="V419">
        <v>72</v>
      </c>
      <c r="W419">
        <v>35</v>
      </c>
      <c r="Y419">
        <v>1.0900639299073009</v>
      </c>
      <c r="Z419">
        <v>1.0979403864417558</v>
      </c>
      <c r="AG419">
        <f t="shared" si="31"/>
        <v>0</v>
      </c>
    </row>
    <row r="420" spans="1:33" ht="45" x14ac:dyDescent="0.25">
      <c r="A420" s="33" t="s">
        <v>777</v>
      </c>
      <c r="B420" s="33" t="s">
        <v>778</v>
      </c>
      <c r="D420">
        <v>0</v>
      </c>
      <c r="E420">
        <v>0</v>
      </c>
      <c r="F420" s="12">
        <v>1925</v>
      </c>
      <c r="G420" s="34">
        <v>7222</v>
      </c>
      <c r="H420" s="34">
        <v>7222</v>
      </c>
      <c r="I420" s="34">
        <v>7222</v>
      </c>
      <c r="K420">
        <v>33</v>
      </c>
      <c r="L420" t="s">
        <v>672</v>
      </c>
      <c r="M420" t="s">
        <v>771</v>
      </c>
      <c r="N420">
        <v>55</v>
      </c>
      <c r="O420">
        <f>580+580</f>
        <v>1160</v>
      </c>
      <c r="P420">
        <f>580+580</f>
        <v>1160</v>
      </c>
      <c r="Q420">
        <f>580+580</f>
        <v>1160</v>
      </c>
      <c r="R420" t="s">
        <v>1085</v>
      </c>
      <c r="S420" t="s">
        <v>1086</v>
      </c>
      <c r="T420">
        <v>1</v>
      </c>
      <c r="U420">
        <v>1</v>
      </c>
      <c r="V420">
        <v>79</v>
      </c>
      <c r="W420">
        <v>73</v>
      </c>
      <c r="Y420">
        <v>1.1899095679852671</v>
      </c>
      <c r="Z420">
        <v>1.198507477461058</v>
      </c>
      <c r="AG420">
        <f t="shared" si="31"/>
        <v>39.550746756214913</v>
      </c>
    </row>
    <row r="421" spans="1:33" ht="90" x14ac:dyDescent="0.25">
      <c r="A421" s="33" t="s">
        <v>779</v>
      </c>
      <c r="B421" s="33" t="s">
        <v>780</v>
      </c>
      <c r="D421">
        <v>0</v>
      </c>
      <c r="E421">
        <v>0</v>
      </c>
      <c r="F421" s="12">
        <v>1840</v>
      </c>
      <c r="G421" s="34">
        <v>1849</v>
      </c>
      <c r="H421" s="34">
        <v>1849</v>
      </c>
      <c r="I421" s="34">
        <v>1849</v>
      </c>
      <c r="K421">
        <v>46</v>
      </c>
      <c r="L421" t="s">
        <v>672</v>
      </c>
      <c r="M421" t="s">
        <v>771</v>
      </c>
      <c r="N421">
        <v>79</v>
      </c>
      <c r="O421">
        <f>585+560</f>
        <v>1145</v>
      </c>
      <c r="P421">
        <f>585+560</f>
        <v>1145</v>
      </c>
      <c r="Q421">
        <f>585+560</f>
        <v>1145</v>
      </c>
      <c r="R421" t="s">
        <v>1087</v>
      </c>
      <c r="S421" t="s">
        <v>1088</v>
      </c>
      <c r="T421">
        <v>1</v>
      </c>
      <c r="U421">
        <v>1</v>
      </c>
      <c r="V421">
        <v>90</v>
      </c>
      <c r="W421">
        <v>83</v>
      </c>
      <c r="Y421">
        <v>0.30464452938310149</v>
      </c>
      <c r="Z421">
        <v>0.30684579421565999</v>
      </c>
      <c r="AG421">
        <f t="shared" si="31"/>
        <v>14.11490653392036</v>
      </c>
    </row>
    <row r="422" spans="1:33" ht="45" x14ac:dyDescent="0.25">
      <c r="A422" s="33" t="s">
        <v>781</v>
      </c>
      <c r="B422" s="33" t="s">
        <v>782</v>
      </c>
      <c r="D422">
        <v>0</v>
      </c>
      <c r="E422">
        <v>0</v>
      </c>
      <c r="F422" s="12">
        <v>1866</v>
      </c>
      <c r="G422" s="34">
        <v>20124</v>
      </c>
      <c r="H422" s="34">
        <v>20124</v>
      </c>
      <c r="I422" s="34">
        <v>20124</v>
      </c>
      <c r="K422">
        <v>26</v>
      </c>
      <c r="L422" t="s">
        <v>672</v>
      </c>
      <c r="M422" t="s">
        <v>771</v>
      </c>
      <c r="N422">
        <v>59</v>
      </c>
      <c r="O422">
        <f>540+545</f>
        <v>1085</v>
      </c>
      <c r="P422">
        <f>540+545</f>
        <v>1085</v>
      </c>
      <c r="Q422">
        <f>540+545</f>
        <v>1085</v>
      </c>
      <c r="R422" t="s">
        <v>1089</v>
      </c>
      <c r="S422" t="s">
        <v>1090</v>
      </c>
      <c r="T422">
        <v>1</v>
      </c>
      <c r="U422">
        <v>1</v>
      </c>
      <c r="V422">
        <v>86</v>
      </c>
      <c r="W422">
        <v>68</v>
      </c>
      <c r="Y422">
        <v>3.3156660407277094</v>
      </c>
      <c r="Z422">
        <v>3.3396239928588107</v>
      </c>
      <c r="AG422">
        <f t="shared" si="31"/>
        <v>86.830223814329074</v>
      </c>
    </row>
    <row r="423" spans="1:33" ht="60" x14ac:dyDescent="0.25">
      <c r="A423" s="33" t="s">
        <v>783</v>
      </c>
      <c r="B423" s="33" t="s">
        <v>784</v>
      </c>
      <c r="D423">
        <v>0</v>
      </c>
      <c r="E423">
        <v>0</v>
      </c>
      <c r="F423" s="12">
        <v>1845</v>
      </c>
      <c r="G423" s="34">
        <v>4400</v>
      </c>
      <c r="M423" t="s">
        <v>771</v>
      </c>
      <c r="N423">
        <v>8</v>
      </c>
      <c r="Y423">
        <v>0</v>
      </c>
      <c r="Z423">
        <v>0</v>
      </c>
      <c r="AG423">
        <f t="shared" si="31"/>
        <v>0</v>
      </c>
    </row>
    <row r="424" spans="1:33" ht="60" x14ac:dyDescent="0.25">
      <c r="A424" s="33" t="s">
        <v>785</v>
      </c>
      <c r="B424" s="33" t="s">
        <v>773</v>
      </c>
      <c r="D424">
        <v>0</v>
      </c>
      <c r="E424">
        <v>0</v>
      </c>
      <c r="F424" s="12">
        <v>1925</v>
      </c>
      <c r="G424" s="34">
        <v>5009</v>
      </c>
      <c r="H424" s="34">
        <v>5009</v>
      </c>
      <c r="I424" s="34">
        <v>5009</v>
      </c>
      <c r="K424">
        <v>11</v>
      </c>
      <c r="L424" t="s">
        <v>672</v>
      </c>
      <c r="M424" t="s">
        <v>771</v>
      </c>
      <c r="N424">
        <v>62</v>
      </c>
      <c r="O424">
        <f>498+475</f>
        <v>973</v>
      </c>
      <c r="P424">
        <f>498+475</f>
        <v>973</v>
      </c>
      <c r="Q424">
        <f>498+475</f>
        <v>973</v>
      </c>
      <c r="R424" t="s">
        <v>1091</v>
      </c>
      <c r="S424" t="s">
        <v>1092</v>
      </c>
      <c r="T424">
        <v>1</v>
      </c>
      <c r="U424">
        <v>1</v>
      </c>
      <c r="V424">
        <v>67</v>
      </c>
      <c r="W424">
        <v>45</v>
      </c>
      <c r="Y424">
        <v>0.82529175104378338</v>
      </c>
      <c r="Z424">
        <v>0.83125504771565217</v>
      </c>
      <c r="AG424">
        <f t="shared" si="31"/>
        <v>9.1438055248721746</v>
      </c>
    </row>
    <row r="425" spans="1:33" ht="90" x14ac:dyDescent="0.25">
      <c r="A425" s="33" t="s">
        <v>786</v>
      </c>
      <c r="B425" s="33" t="s">
        <v>773</v>
      </c>
      <c r="D425">
        <v>0</v>
      </c>
      <c r="E425">
        <v>0</v>
      </c>
      <c r="F425" s="12">
        <v>1807</v>
      </c>
      <c r="G425" s="34">
        <v>5874</v>
      </c>
      <c r="M425" t="s">
        <v>771</v>
      </c>
      <c r="N425" t="s">
        <v>287</v>
      </c>
      <c r="Y425">
        <v>0</v>
      </c>
      <c r="Z425">
        <v>0</v>
      </c>
      <c r="AG425">
        <f t="shared" si="31"/>
        <v>0</v>
      </c>
    </row>
    <row r="426" spans="1:33" ht="90" x14ac:dyDescent="0.25">
      <c r="A426" s="33" t="s">
        <v>787</v>
      </c>
      <c r="B426" s="12" t="s">
        <v>788</v>
      </c>
      <c r="D426">
        <v>0</v>
      </c>
      <c r="E426">
        <v>0</v>
      </c>
      <c r="F426" s="12">
        <v>1966</v>
      </c>
      <c r="G426" s="34">
        <v>11920</v>
      </c>
      <c r="H426" s="34">
        <v>11920</v>
      </c>
      <c r="I426" s="34">
        <v>11920</v>
      </c>
      <c r="K426">
        <v>25</v>
      </c>
      <c r="L426" t="s">
        <v>672</v>
      </c>
      <c r="M426" t="s">
        <v>771</v>
      </c>
      <c r="N426">
        <v>60</v>
      </c>
      <c r="O426">
        <f>590+620</f>
        <v>1210</v>
      </c>
      <c r="P426">
        <f>590+620</f>
        <v>1210</v>
      </c>
      <c r="Q426">
        <f>590+620</f>
        <v>1210</v>
      </c>
      <c r="R426" t="s">
        <v>1093</v>
      </c>
      <c r="S426" t="s">
        <v>1094</v>
      </c>
      <c r="T426">
        <v>1</v>
      </c>
      <c r="U426">
        <v>1</v>
      </c>
      <c r="V426">
        <v>85</v>
      </c>
      <c r="W426">
        <v>69</v>
      </c>
      <c r="Y426">
        <v>1.9639604057580151</v>
      </c>
      <c r="Z426">
        <v>1.9781513613037678</v>
      </c>
      <c r="AG426">
        <f t="shared" si="31"/>
        <v>49.453784032594193</v>
      </c>
    </row>
    <row r="427" spans="1:33" ht="90" x14ac:dyDescent="0.25">
      <c r="A427" s="33" t="s">
        <v>789</v>
      </c>
      <c r="B427" s="33" t="s">
        <v>790</v>
      </c>
      <c r="D427">
        <v>0</v>
      </c>
      <c r="E427">
        <v>0</v>
      </c>
      <c r="F427" s="12">
        <v>1856</v>
      </c>
      <c r="G427" s="34">
        <v>25422</v>
      </c>
      <c r="H427" s="34">
        <v>25422</v>
      </c>
      <c r="I427" s="34">
        <v>25422</v>
      </c>
      <c r="K427">
        <v>38</v>
      </c>
      <c r="L427" t="s">
        <v>192</v>
      </c>
      <c r="M427" t="s">
        <v>771</v>
      </c>
      <c r="N427">
        <v>48</v>
      </c>
      <c r="O427">
        <f>640+675</f>
        <v>1315</v>
      </c>
      <c r="P427">
        <f>640+675</f>
        <v>1315</v>
      </c>
      <c r="Q427">
        <f>640+675</f>
        <v>1315</v>
      </c>
      <c r="R427" t="s">
        <v>1095</v>
      </c>
      <c r="S427" t="s">
        <v>1096</v>
      </c>
      <c r="T427">
        <v>1</v>
      </c>
      <c r="U427">
        <v>1</v>
      </c>
      <c r="V427">
        <v>94</v>
      </c>
      <c r="W427">
        <v>84</v>
      </c>
      <c r="Y427">
        <v>4.188573945904384</v>
      </c>
      <c r="Z427">
        <v>4.2188392539483548</v>
      </c>
      <c r="AG427">
        <f t="shared" si="31"/>
        <v>160.31589165003749</v>
      </c>
    </row>
    <row r="428" spans="1:33" ht="90" x14ac:dyDescent="0.25">
      <c r="A428" s="33" t="s">
        <v>791</v>
      </c>
      <c r="B428" s="33" t="s">
        <v>792</v>
      </c>
      <c r="D428">
        <v>0</v>
      </c>
      <c r="E428">
        <v>0</v>
      </c>
      <c r="F428" s="12">
        <v>1886</v>
      </c>
      <c r="G428" s="34">
        <v>5814</v>
      </c>
      <c r="H428" s="34">
        <v>5814</v>
      </c>
      <c r="I428" s="34">
        <v>5814</v>
      </c>
      <c r="K428">
        <v>56</v>
      </c>
      <c r="L428" t="s">
        <v>672</v>
      </c>
      <c r="M428" t="s">
        <v>771</v>
      </c>
      <c r="N428">
        <v>61</v>
      </c>
      <c r="O428">
        <f>425+415</f>
        <v>840</v>
      </c>
      <c r="P428">
        <f>425+415</f>
        <v>840</v>
      </c>
      <c r="Q428">
        <f>425+415</f>
        <v>840</v>
      </c>
      <c r="R428" t="s">
        <v>1097</v>
      </c>
      <c r="S428" t="s">
        <v>1098</v>
      </c>
      <c r="T428">
        <v>1</v>
      </c>
      <c r="U428">
        <v>1</v>
      </c>
      <c r="V428">
        <v>68</v>
      </c>
      <c r="W428">
        <v>39</v>
      </c>
      <c r="Y428">
        <v>0.95792498314405206</v>
      </c>
      <c r="Z428">
        <v>0.96484664552182098</v>
      </c>
      <c r="AG428">
        <f t="shared" si="31"/>
        <v>54.031412149221978</v>
      </c>
    </row>
    <row r="429" spans="1:33" ht="90" x14ac:dyDescent="0.25">
      <c r="A429" s="33" t="s">
        <v>793</v>
      </c>
      <c r="B429" s="33" t="s">
        <v>794</v>
      </c>
      <c r="D429">
        <v>0</v>
      </c>
      <c r="E429">
        <v>0</v>
      </c>
      <c r="F429" s="12">
        <v>1947</v>
      </c>
      <c r="G429" s="34">
        <v>97001</v>
      </c>
      <c r="H429" s="34" t="s">
        <v>28</v>
      </c>
      <c r="I429" s="34" t="s">
        <v>28</v>
      </c>
      <c r="M429" t="s">
        <v>771</v>
      </c>
      <c r="N429">
        <v>100</v>
      </c>
      <c r="Y429" t="s">
        <v>28</v>
      </c>
      <c r="Z429" t="s">
        <v>443</v>
      </c>
      <c r="AG429" t="s">
        <v>28</v>
      </c>
    </row>
    <row r="430" spans="1:33" x14ac:dyDescent="0.25">
      <c r="M430" t="s">
        <v>771</v>
      </c>
      <c r="Y430">
        <v>0</v>
      </c>
      <c r="Z430">
        <v>0</v>
      </c>
      <c r="AG430">
        <f>K430*Z430</f>
        <v>0</v>
      </c>
    </row>
    <row r="431" spans="1:33" x14ac:dyDescent="0.25">
      <c r="M431" t="s">
        <v>771</v>
      </c>
      <c r="Y431">
        <v>0</v>
      </c>
      <c r="Z431">
        <v>0</v>
      </c>
      <c r="AG431">
        <f>K431*Z431</f>
        <v>0</v>
      </c>
    </row>
    <row r="432" spans="1:33" ht="23.25" x14ac:dyDescent="0.25">
      <c r="A432" s="26" t="s">
        <v>795</v>
      </c>
      <c r="M432" t="s">
        <v>771</v>
      </c>
      <c r="Y432">
        <v>0</v>
      </c>
      <c r="Z432">
        <v>0</v>
      </c>
      <c r="AG432">
        <f>K432*Z432</f>
        <v>0</v>
      </c>
    </row>
    <row r="433" spans="1:33" x14ac:dyDescent="0.25">
      <c r="M433" t="s">
        <v>771</v>
      </c>
      <c r="Y433">
        <v>0</v>
      </c>
      <c r="Z433">
        <v>0</v>
      </c>
      <c r="AG433">
        <f>K433*Z433</f>
        <v>0</v>
      </c>
    </row>
    <row r="434" spans="1:33" ht="30" x14ac:dyDescent="0.25">
      <c r="A434" s="2" t="s">
        <v>796</v>
      </c>
      <c r="B434" s="2" t="s">
        <v>797</v>
      </c>
      <c r="F434" s="2" t="s">
        <v>798</v>
      </c>
      <c r="G434" s="2" t="s">
        <v>799</v>
      </c>
      <c r="H434" s="2" t="s">
        <v>799</v>
      </c>
      <c r="I434" s="2" t="s">
        <v>799</v>
      </c>
      <c r="M434" t="s">
        <v>771</v>
      </c>
      <c r="Y434" t="s">
        <v>28</v>
      </c>
      <c r="Z434" t="s">
        <v>28</v>
      </c>
      <c r="AG434" t="s">
        <v>28</v>
      </c>
    </row>
    <row r="435" spans="1:33" ht="75" x14ac:dyDescent="0.25">
      <c r="A435" s="33" t="s">
        <v>800</v>
      </c>
      <c r="B435" s="33" t="s">
        <v>801</v>
      </c>
      <c r="E435">
        <v>1</v>
      </c>
      <c r="F435" s="12">
        <v>1927</v>
      </c>
      <c r="G435" s="12">
        <v>699</v>
      </c>
      <c r="M435" t="s">
        <v>771</v>
      </c>
      <c r="N435" t="s">
        <v>287</v>
      </c>
      <c r="Y435">
        <v>0</v>
      </c>
      <c r="Z435">
        <v>0</v>
      </c>
      <c r="AG435">
        <f t="shared" ref="AG435:AG462" si="32">K435*Z435</f>
        <v>0</v>
      </c>
    </row>
    <row r="436" spans="1:33" ht="30" x14ac:dyDescent="0.25">
      <c r="A436" s="33" t="s">
        <v>802</v>
      </c>
      <c r="B436" s="33" t="s">
        <v>782</v>
      </c>
      <c r="D436">
        <v>0</v>
      </c>
      <c r="E436">
        <v>1</v>
      </c>
      <c r="F436" s="12">
        <v>1885</v>
      </c>
      <c r="G436" s="34">
        <v>2362</v>
      </c>
      <c r="H436" s="34">
        <v>2362</v>
      </c>
      <c r="I436" s="34">
        <v>2362</v>
      </c>
      <c r="K436" s="34">
        <v>55</v>
      </c>
      <c r="L436" t="s">
        <v>682</v>
      </c>
      <c r="M436" t="s">
        <v>771</v>
      </c>
      <c r="N436">
        <v>76</v>
      </c>
      <c r="O436">
        <v>1150</v>
      </c>
      <c r="P436">
        <v>1150</v>
      </c>
      <c r="Q436">
        <v>1150</v>
      </c>
      <c r="R436">
        <v>1150</v>
      </c>
      <c r="S436" t="s">
        <v>1099</v>
      </c>
      <c r="T436">
        <v>1</v>
      </c>
      <c r="U436">
        <v>1</v>
      </c>
      <c r="V436">
        <v>82</v>
      </c>
      <c r="W436">
        <v>69</v>
      </c>
      <c r="Y436">
        <v>0.38916732201345905</v>
      </c>
      <c r="Z436">
        <v>0.39197932176170303</v>
      </c>
      <c r="AG436">
        <f t="shared" si="32"/>
        <v>21.558862696893666</v>
      </c>
    </row>
    <row r="437" spans="1:33" ht="30" x14ac:dyDescent="0.25">
      <c r="A437" s="33" t="s">
        <v>803</v>
      </c>
      <c r="B437" s="33" t="s">
        <v>804</v>
      </c>
      <c r="D437">
        <v>0</v>
      </c>
      <c r="E437">
        <v>1</v>
      </c>
      <c r="F437" s="12">
        <v>1893</v>
      </c>
      <c r="G437" s="34">
        <v>2522</v>
      </c>
      <c r="H437" s="34">
        <v>2522</v>
      </c>
      <c r="I437" s="34">
        <v>2522</v>
      </c>
      <c r="K437">
        <v>22</v>
      </c>
      <c r="L437" t="s">
        <v>672</v>
      </c>
      <c r="M437" t="s">
        <v>771</v>
      </c>
      <c r="N437">
        <v>81</v>
      </c>
      <c r="O437">
        <f>535+535</f>
        <v>1070</v>
      </c>
      <c r="P437">
        <f>535+535</f>
        <v>1070</v>
      </c>
      <c r="Q437">
        <f>535+535</f>
        <v>1070</v>
      </c>
      <c r="R437" t="s">
        <v>1100</v>
      </c>
      <c r="S437" t="s">
        <v>1101</v>
      </c>
      <c r="T437">
        <v>1</v>
      </c>
      <c r="U437">
        <v>1</v>
      </c>
      <c r="V437">
        <v>75</v>
      </c>
      <c r="W437">
        <v>63</v>
      </c>
      <c r="Y437">
        <v>0.41552920665450621</v>
      </c>
      <c r="Z437">
        <v>0.41853168902752541</v>
      </c>
      <c r="AG437">
        <f t="shared" si="32"/>
        <v>9.2076971586055585</v>
      </c>
    </row>
    <row r="438" spans="1:33" ht="60" x14ac:dyDescent="0.25">
      <c r="A438" s="33" t="s">
        <v>805</v>
      </c>
      <c r="B438" s="33" t="s">
        <v>773</v>
      </c>
      <c r="D438">
        <v>0</v>
      </c>
      <c r="E438">
        <v>1</v>
      </c>
      <c r="F438" s="12">
        <v>1876</v>
      </c>
      <c r="G438" s="34">
        <v>18753</v>
      </c>
      <c r="H438" s="34">
        <v>18753</v>
      </c>
      <c r="I438" s="34">
        <v>18753</v>
      </c>
      <c r="K438">
        <v>47</v>
      </c>
      <c r="L438" t="s">
        <v>659</v>
      </c>
      <c r="M438" t="s">
        <v>771</v>
      </c>
      <c r="N438">
        <v>15</v>
      </c>
      <c r="O438">
        <f>690+735</f>
        <v>1425</v>
      </c>
      <c r="P438">
        <f>690+735</f>
        <v>1425</v>
      </c>
      <c r="Q438">
        <f>690+735</f>
        <v>1425</v>
      </c>
      <c r="R438" t="s">
        <v>1102</v>
      </c>
      <c r="S438" t="s">
        <v>1103</v>
      </c>
      <c r="T438">
        <v>1</v>
      </c>
      <c r="U438">
        <v>1</v>
      </c>
      <c r="V438">
        <v>97</v>
      </c>
      <c r="W438">
        <v>94</v>
      </c>
      <c r="Y438">
        <v>3.0897776417097367</v>
      </c>
      <c r="Z438">
        <v>3.1121033958497955</v>
      </c>
      <c r="AG438">
        <f t="shared" si="32"/>
        <v>146.26885960494039</v>
      </c>
    </row>
    <row r="439" spans="1:33" ht="75" x14ac:dyDescent="0.25">
      <c r="A439" s="33" t="s">
        <v>806</v>
      </c>
      <c r="B439" s="33" t="s">
        <v>773</v>
      </c>
      <c r="D439">
        <v>1</v>
      </c>
      <c r="E439">
        <v>1</v>
      </c>
      <c r="F439" s="12">
        <v>1852</v>
      </c>
      <c r="G439" s="34">
        <v>6028</v>
      </c>
      <c r="H439" s="34">
        <v>6028</v>
      </c>
      <c r="I439" s="34">
        <v>6028</v>
      </c>
      <c r="K439">
        <v>38</v>
      </c>
      <c r="L439" t="s">
        <v>672</v>
      </c>
      <c r="M439" t="s">
        <v>771</v>
      </c>
      <c r="N439">
        <v>60</v>
      </c>
      <c r="O439">
        <f>595+600</f>
        <v>1195</v>
      </c>
      <c r="P439">
        <f>595+600</f>
        <v>1195</v>
      </c>
      <c r="Q439">
        <f>595+600</f>
        <v>1195</v>
      </c>
      <c r="R439" t="s">
        <v>1104</v>
      </c>
      <c r="S439" t="s">
        <v>1105</v>
      </c>
      <c r="T439">
        <v>1</v>
      </c>
      <c r="U439">
        <v>1</v>
      </c>
      <c r="V439">
        <v>88</v>
      </c>
      <c r="W439">
        <v>84</v>
      </c>
      <c r="Y439">
        <v>0.99318400385145267</v>
      </c>
      <c r="Z439">
        <v>1.0003604367398584</v>
      </c>
      <c r="AG439">
        <f t="shared" si="32"/>
        <v>38.01369659611462</v>
      </c>
    </row>
    <row r="440" spans="1:33" ht="75" x14ac:dyDescent="0.25">
      <c r="A440" s="33" t="s">
        <v>807</v>
      </c>
      <c r="B440" s="33" t="s">
        <v>773</v>
      </c>
      <c r="E440">
        <v>1</v>
      </c>
      <c r="F440" s="12">
        <v>1826</v>
      </c>
      <c r="G440" s="34">
        <v>1899</v>
      </c>
      <c r="J440" t="s">
        <v>808</v>
      </c>
      <c r="M440" t="s">
        <v>771</v>
      </c>
      <c r="N440">
        <v>54</v>
      </c>
      <c r="Y440">
        <v>0</v>
      </c>
      <c r="Z440">
        <v>0</v>
      </c>
      <c r="AG440">
        <f t="shared" si="32"/>
        <v>0</v>
      </c>
    </row>
    <row r="441" spans="1:33" ht="105" x14ac:dyDescent="0.25">
      <c r="A441" s="33" t="s">
        <v>809</v>
      </c>
      <c r="B441" s="33" t="s">
        <v>801</v>
      </c>
      <c r="E441">
        <v>1</v>
      </c>
      <c r="F441" s="12">
        <v>1974</v>
      </c>
      <c r="G441" s="12">
        <v>339</v>
      </c>
      <c r="M441" t="s">
        <v>771</v>
      </c>
      <c r="Y441">
        <v>0</v>
      </c>
      <c r="Z441">
        <v>0</v>
      </c>
      <c r="AG441">
        <f t="shared" si="32"/>
        <v>0</v>
      </c>
    </row>
    <row r="442" spans="1:33" ht="30" x14ac:dyDescent="0.25">
      <c r="A442" s="33" t="s">
        <v>810</v>
      </c>
      <c r="B442" s="33" t="s">
        <v>811</v>
      </c>
      <c r="D442">
        <v>0</v>
      </c>
      <c r="E442">
        <v>1</v>
      </c>
      <c r="F442" s="12">
        <v>1867</v>
      </c>
      <c r="G442" s="34">
        <v>3641</v>
      </c>
      <c r="H442" s="34">
        <v>3641</v>
      </c>
      <c r="I442" s="34">
        <v>3641</v>
      </c>
      <c r="K442">
        <v>40</v>
      </c>
      <c r="L442" t="s">
        <v>464</v>
      </c>
      <c r="M442" t="s">
        <v>771</v>
      </c>
      <c r="N442">
        <v>76</v>
      </c>
      <c r="O442">
        <f>535+535</f>
        <v>1070</v>
      </c>
      <c r="P442">
        <f>535+535</f>
        <v>1070</v>
      </c>
      <c r="Q442">
        <f>535+535</f>
        <v>1070</v>
      </c>
      <c r="R442" t="s">
        <v>1100</v>
      </c>
      <c r="S442" t="s">
        <v>1106</v>
      </c>
      <c r="T442">
        <v>1</v>
      </c>
      <c r="U442">
        <v>1</v>
      </c>
      <c r="V442">
        <v>83</v>
      </c>
      <c r="W442">
        <v>68</v>
      </c>
      <c r="Y442">
        <v>0.59989763736282997</v>
      </c>
      <c r="Z442">
        <v>0.60423230759287072</v>
      </c>
      <c r="AG442">
        <f t="shared" si="32"/>
        <v>24.16929230371483</v>
      </c>
    </row>
    <row r="443" spans="1:33" ht="75" x14ac:dyDescent="0.25">
      <c r="A443" s="33" t="s">
        <v>812</v>
      </c>
      <c r="B443" s="33" t="s">
        <v>813</v>
      </c>
      <c r="D443">
        <v>1</v>
      </c>
      <c r="E443">
        <v>1</v>
      </c>
      <c r="F443" s="12">
        <v>1808</v>
      </c>
      <c r="G443" s="34">
        <v>2045</v>
      </c>
      <c r="H443" s="34">
        <v>2045</v>
      </c>
      <c r="I443" s="34">
        <v>2045</v>
      </c>
      <c r="K443">
        <v>51</v>
      </c>
      <c r="L443" t="s">
        <v>672</v>
      </c>
      <c r="M443" t="s">
        <v>771</v>
      </c>
      <c r="N443">
        <v>67</v>
      </c>
      <c r="O443">
        <f>515+505</f>
        <v>1020</v>
      </c>
      <c r="P443">
        <f>515+505</f>
        <v>1020</v>
      </c>
      <c r="Q443">
        <f>515+505</f>
        <v>1020</v>
      </c>
      <c r="R443" t="s">
        <v>1107</v>
      </c>
      <c r="S443" t="s">
        <v>1108</v>
      </c>
      <c r="T443">
        <v>1</v>
      </c>
      <c r="U443">
        <v>1</v>
      </c>
      <c r="V443">
        <v>79</v>
      </c>
      <c r="W443">
        <v>64</v>
      </c>
      <c r="Y443">
        <v>0.33693783806838429</v>
      </c>
      <c r="Z443">
        <v>0.33937244411629242</v>
      </c>
      <c r="AG443">
        <f t="shared" si="32"/>
        <v>17.307994649930912</v>
      </c>
    </row>
    <row r="444" spans="1:33" ht="90" x14ac:dyDescent="0.25">
      <c r="A444" s="33" t="s">
        <v>814</v>
      </c>
      <c r="B444" s="33" t="s">
        <v>773</v>
      </c>
      <c r="D444">
        <v>1</v>
      </c>
      <c r="E444">
        <v>1</v>
      </c>
      <c r="F444" s="12">
        <v>1873</v>
      </c>
      <c r="G444" s="34">
        <v>4878</v>
      </c>
      <c r="H444" s="34">
        <v>4878</v>
      </c>
      <c r="K444">
        <v>58</v>
      </c>
      <c r="L444" t="s">
        <v>672</v>
      </c>
      <c r="M444" t="s">
        <v>771</v>
      </c>
      <c r="N444">
        <v>50</v>
      </c>
      <c r="O444">
        <f>540+530</f>
        <v>1070</v>
      </c>
      <c r="P444">
        <f>540+530</f>
        <v>1070</v>
      </c>
      <c r="Q444">
        <f>540+530</f>
        <v>1070</v>
      </c>
      <c r="R444" t="s">
        <v>1109</v>
      </c>
      <c r="S444" t="s">
        <v>1110</v>
      </c>
      <c r="T444">
        <v>1</v>
      </c>
      <c r="V444">
        <v>85</v>
      </c>
      <c r="Y444">
        <v>0.80370795799392603</v>
      </c>
      <c r="Z444">
        <v>0</v>
      </c>
      <c r="AG444">
        <f t="shared" si="32"/>
        <v>0</v>
      </c>
    </row>
    <row r="445" spans="1:33" ht="30" x14ac:dyDescent="0.25">
      <c r="A445" s="33" t="s">
        <v>815</v>
      </c>
      <c r="B445" s="33" t="s">
        <v>784</v>
      </c>
      <c r="D445">
        <v>0</v>
      </c>
      <c r="E445">
        <v>1</v>
      </c>
      <c r="F445" s="12">
        <v>1696</v>
      </c>
      <c r="G445" s="12">
        <v>563</v>
      </c>
      <c r="M445" t="s">
        <v>771</v>
      </c>
      <c r="N445">
        <v>87</v>
      </c>
      <c r="Y445">
        <v>0</v>
      </c>
      <c r="Z445">
        <v>0</v>
      </c>
      <c r="AG445">
        <f t="shared" si="32"/>
        <v>0</v>
      </c>
    </row>
    <row r="446" spans="1:33" ht="60" x14ac:dyDescent="0.25">
      <c r="A446" s="33" t="s">
        <v>816</v>
      </c>
      <c r="B446" s="33" t="s">
        <v>817</v>
      </c>
      <c r="D446">
        <v>0</v>
      </c>
      <c r="E446">
        <v>1</v>
      </c>
      <c r="F446" s="12">
        <v>1947</v>
      </c>
      <c r="G446" s="34">
        <v>3304</v>
      </c>
      <c r="H446" s="34">
        <v>3304</v>
      </c>
      <c r="I446" s="34">
        <v>3304</v>
      </c>
      <c r="K446">
        <v>19</v>
      </c>
      <c r="L446" t="s">
        <v>672</v>
      </c>
      <c r="M446" t="s">
        <v>771</v>
      </c>
      <c r="N446">
        <v>62</v>
      </c>
      <c r="O446">
        <f>500+505</f>
        <v>1005</v>
      </c>
      <c r="P446">
        <f>500+505</f>
        <v>1005</v>
      </c>
      <c r="Q446">
        <f>500+505</f>
        <v>1005</v>
      </c>
      <c r="R446" t="s">
        <v>1111</v>
      </c>
      <c r="S446" t="s">
        <v>1112</v>
      </c>
      <c r="T446">
        <v>1</v>
      </c>
      <c r="U446">
        <v>1</v>
      </c>
      <c r="V446">
        <v>80</v>
      </c>
      <c r="W446">
        <v>63</v>
      </c>
      <c r="Y446">
        <v>0.54437291783762431</v>
      </c>
      <c r="Z446">
        <v>0.54830638403923226</v>
      </c>
      <c r="AG446">
        <f t="shared" si="32"/>
        <v>10.417821296745412</v>
      </c>
    </row>
    <row r="447" spans="1:33" ht="90" x14ac:dyDescent="0.25">
      <c r="A447" s="33" t="s">
        <v>818</v>
      </c>
      <c r="B447" s="33" t="s">
        <v>819</v>
      </c>
      <c r="E447">
        <v>1</v>
      </c>
      <c r="F447" s="12">
        <v>1904</v>
      </c>
      <c r="G447" s="34">
        <v>1250</v>
      </c>
      <c r="M447" t="s">
        <v>771</v>
      </c>
      <c r="N447">
        <v>45</v>
      </c>
      <c r="Y447">
        <v>0</v>
      </c>
      <c r="Z447">
        <v>0</v>
      </c>
      <c r="AG447">
        <f t="shared" si="32"/>
        <v>0</v>
      </c>
    </row>
    <row r="448" spans="1:33" ht="45" x14ac:dyDescent="0.25">
      <c r="A448" s="33" t="s">
        <v>820</v>
      </c>
      <c r="B448" s="33" t="s">
        <v>821</v>
      </c>
      <c r="D448">
        <v>0</v>
      </c>
      <c r="E448">
        <v>1</v>
      </c>
      <c r="F448" s="12">
        <v>1782</v>
      </c>
      <c r="G448" s="34">
        <v>1285</v>
      </c>
      <c r="H448" s="34">
        <v>1285</v>
      </c>
      <c r="I448" s="34">
        <v>1285</v>
      </c>
      <c r="K448">
        <v>51</v>
      </c>
      <c r="L448" t="s">
        <v>672</v>
      </c>
      <c r="M448" t="s">
        <v>771</v>
      </c>
      <c r="N448">
        <v>56</v>
      </c>
      <c r="O448">
        <v>1181</v>
      </c>
      <c r="P448">
        <v>1181</v>
      </c>
      <c r="Q448">
        <v>1181</v>
      </c>
      <c r="R448">
        <v>1181</v>
      </c>
      <c r="S448" t="s">
        <v>1113</v>
      </c>
      <c r="T448">
        <v>1</v>
      </c>
      <c r="U448">
        <v>1</v>
      </c>
      <c r="V448">
        <v>85</v>
      </c>
      <c r="W448">
        <v>74</v>
      </c>
      <c r="Y448">
        <v>0.21171888602341019</v>
      </c>
      <c r="Z448">
        <v>0.21324869960363604</v>
      </c>
      <c r="AG448">
        <f t="shared" si="32"/>
        <v>10.875683679785439</v>
      </c>
    </row>
    <row r="449" spans="1:33" x14ac:dyDescent="0.25">
      <c r="T449">
        <f>SUM(T412:T448)</f>
        <v>21</v>
      </c>
      <c r="U449">
        <f>SUM(U412:U448)</f>
        <v>21</v>
      </c>
      <c r="AG449">
        <f t="shared" si="32"/>
        <v>0</v>
      </c>
    </row>
    <row r="450" spans="1:33" x14ac:dyDescent="0.25">
      <c r="AG450">
        <f t="shared" si="32"/>
        <v>0</v>
      </c>
    </row>
    <row r="451" spans="1:33" x14ac:dyDescent="0.25">
      <c r="AG451">
        <f t="shared" si="32"/>
        <v>0</v>
      </c>
    </row>
    <row r="452" spans="1:33" x14ac:dyDescent="0.25">
      <c r="AG452">
        <f t="shared" si="32"/>
        <v>0</v>
      </c>
    </row>
    <row r="453" spans="1:33" x14ac:dyDescent="0.25">
      <c r="AG453">
        <f t="shared" si="32"/>
        <v>0</v>
      </c>
    </row>
    <row r="454" spans="1:33" x14ac:dyDescent="0.25">
      <c r="AG454">
        <f t="shared" si="32"/>
        <v>0</v>
      </c>
    </row>
    <row r="455" spans="1:33" x14ac:dyDescent="0.25">
      <c r="AG455">
        <f t="shared" si="32"/>
        <v>0</v>
      </c>
    </row>
    <row r="456" spans="1:33" ht="75" x14ac:dyDescent="0.25">
      <c r="A456" s="38" t="s">
        <v>822</v>
      </c>
      <c r="B456" s="12" t="s">
        <v>823</v>
      </c>
      <c r="C456" s="37" t="s">
        <v>273</v>
      </c>
      <c r="D456">
        <v>0</v>
      </c>
      <c r="E456">
        <v>1</v>
      </c>
      <c r="F456" s="39">
        <v>12904</v>
      </c>
      <c r="G456">
        <v>7083</v>
      </c>
      <c r="H456">
        <v>7083</v>
      </c>
      <c r="I456">
        <v>7083</v>
      </c>
      <c r="K456">
        <v>39</v>
      </c>
      <c r="L456" t="s">
        <v>672</v>
      </c>
      <c r="M456" t="s">
        <v>831</v>
      </c>
      <c r="N456">
        <v>46</v>
      </c>
      <c r="O456">
        <f>640+605</f>
        <v>1245</v>
      </c>
      <c r="P456">
        <f>640+605</f>
        <v>1245</v>
      </c>
      <c r="Q456">
        <f>640+605</f>
        <v>1245</v>
      </c>
      <c r="R456" t="s">
        <v>1114</v>
      </c>
      <c r="S456" t="s">
        <v>1115</v>
      </c>
      <c r="T456">
        <v>1</v>
      </c>
      <c r="U456">
        <v>1</v>
      </c>
      <c r="V456">
        <v>88</v>
      </c>
      <c r="W456">
        <v>81</v>
      </c>
      <c r="Y456">
        <v>1.1670076807033576</v>
      </c>
      <c r="Z456">
        <v>1.1754401083988748</v>
      </c>
      <c r="AG456">
        <f t="shared" si="32"/>
        <v>45.842164227556118</v>
      </c>
    </row>
    <row r="457" spans="1:33" ht="60" x14ac:dyDescent="0.25">
      <c r="A457" s="38" t="s">
        <v>824</v>
      </c>
      <c r="B457" s="12" t="s">
        <v>823</v>
      </c>
      <c r="C457" s="37" t="s">
        <v>44</v>
      </c>
      <c r="D457">
        <v>1</v>
      </c>
      <c r="E457">
        <v>1</v>
      </c>
      <c r="F457" s="39">
        <v>6838</v>
      </c>
      <c r="G457">
        <v>3480</v>
      </c>
      <c r="H457">
        <v>3480</v>
      </c>
      <c r="I457">
        <v>3480</v>
      </c>
      <c r="K457">
        <v>43</v>
      </c>
      <c r="L457" t="s">
        <v>682</v>
      </c>
      <c r="M457" t="s">
        <v>831</v>
      </c>
      <c r="N457">
        <v>75</v>
      </c>
      <c r="O457">
        <f>560+565</f>
        <v>1125</v>
      </c>
      <c r="P457">
        <f>560+565</f>
        <v>1125</v>
      </c>
      <c r="Q457">
        <f>560+565</f>
        <v>1125</v>
      </c>
      <c r="R457" t="s">
        <v>1116</v>
      </c>
      <c r="S457" t="s">
        <v>1117</v>
      </c>
      <c r="T457">
        <v>1</v>
      </c>
      <c r="U457">
        <v>1</v>
      </c>
      <c r="V457">
        <v>82</v>
      </c>
      <c r="W457">
        <v>67</v>
      </c>
      <c r="Y457">
        <v>0.57337099094277622</v>
      </c>
      <c r="Z457">
        <v>0.57751398803163689</v>
      </c>
      <c r="AG457">
        <f t="shared" si="32"/>
        <v>24.833101485360388</v>
      </c>
    </row>
    <row r="458" spans="1:33" ht="75" x14ac:dyDescent="0.25">
      <c r="A458" s="38" t="s">
        <v>825</v>
      </c>
      <c r="B458" s="12" t="s">
        <v>823</v>
      </c>
      <c r="C458" s="37" t="s">
        <v>44</v>
      </c>
      <c r="D458">
        <v>0</v>
      </c>
      <c r="E458">
        <v>1</v>
      </c>
      <c r="F458" s="39">
        <v>25653</v>
      </c>
      <c r="G458">
        <v>11000</v>
      </c>
      <c r="H458">
        <v>11000</v>
      </c>
      <c r="I458">
        <v>11000</v>
      </c>
      <c r="K458">
        <v>19</v>
      </c>
      <c r="L458" t="s">
        <v>672</v>
      </c>
      <c r="M458" t="s">
        <v>831</v>
      </c>
      <c r="N458">
        <v>44</v>
      </c>
      <c r="O458">
        <f>640+650</f>
        <v>1290</v>
      </c>
      <c r="P458">
        <f>640+650</f>
        <v>1290</v>
      </c>
      <c r="Q458">
        <f>640+650</f>
        <v>1290</v>
      </c>
      <c r="R458" t="s">
        <v>1118</v>
      </c>
      <c r="S458" t="s">
        <v>1119</v>
      </c>
      <c r="T458">
        <v>1</v>
      </c>
      <c r="U458">
        <v>1</v>
      </c>
      <c r="V458">
        <v>93</v>
      </c>
      <c r="W458">
        <v>80</v>
      </c>
      <c r="Y458">
        <v>1.8123795690719939</v>
      </c>
      <c r="Z458">
        <v>1.8254752495252891</v>
      </c>
      <c r="AG458">
        <f t="shared" si="32"/>
        <v>34.684029740980492</v>
      </c>
    </row>
    <row r="459" spans="1:33" ht="60" x14ac:dyDescent="0.25">
      <c r="A459" s="38" t="s">
        <v>826</v>
      </c>
      <c r="B459" s="12" t="s">
        <v>823</v>
      </c>
      <c r="C459" s="37" t="s">
        <v>44</v>
      </c>
      <c r="D459">
        <v>1</v>
      </c>
      <c r="E459">
        <v>1</v>
      </c>
      <c r="F459" s="39">
        <v>17357</v>
      </c>
      <c r="G459">
        <v>7636</v>
      </c>
      <c r="H459">
        <v>7636</v>
      </c>
      <c r="I459">
        <v>7636</v>
      </c>
      <c r="K459">
        <v>32</v>
      </c>
      <c r="L459" t="s">
        <v>672</v>
      </c>
      <c r="M459" t="s">
        <v>831</v>
      </c>
      <c r="N459">
        <v>17</v>
      </c>
      <c r="O459">
        <f>605+605</f>
        <v>1210</v>
      </c>
      <c r="P459">
        <f>605+605</f>
        <v>1210</v>
      </c>
      <c r="Q459">
        <f>605+605</f>
        <v>1210</v>
      </c>
      <c r="R459" t="s">
        <v>1120</v>
      </c>
      <c r="S459" t="s">
        <v>1121</v>
      </c>
      <c r="T459">
        <v>1</v>
      </c>
      <c r="U459">
        <v>1</v>
      </c>
      <c r="V459">
        <v>96</v>
      </c>
      <c r="W459">
        <v>92</v>
      </c>
      <c r="Y459">
        <v>1.2581209444939769</v>
      </c>
      <c r="Z459">
        <v>1.2672117277613735</v>
      </c>
      <c r="AG459">
        <f t="shared" si="32"/>
        <v>40.550775288363951</v>
      </c>
    </row>
    <row r="460" spans="1:33" ht="45" x14ac:dyDescent="0.25">
      <c r="A460" s="38" t="s">
        <v>827</v>
      </c>
      <c r="B460" s="12" t="s">
        <v>823</v>
      </c>
      <c r="C460" s="37" t="s">
        <v>44</v>
      </c>
      <c r="D460">
        <v>0</v>
      </c>
      <c r="E460">
        <v>1</v>
      </c>
      <c r="F460" s="39">
        <v>10002</v>
      </c>
      <c r="G460" s="5">
        <v>4000</v>
      </c>
      <c r="H460" s="5">
        <v>4000</v>
      </c>
      <c r="I460" s="5">
        <v>4000</v>
      </c>
      <c r="K460">
        <v>39</v>
      </c>
      <c r="L460" t="s">
        <v>672</v>
      </c>
      <c r="M460" t="s">
        <v>831</v>
      </c>
      <c r="N460">
        <v>48</v>
      </c>
      <c r="O460">
        <f>555+550</f>
        <v>1105</v>
      </c>
      <c r="P460">
        <f>555+550</f>
        <v>1105</v>
      </c>
      <c r="Q460">
        <f>555+550</f>
        <v>1105</v>
      </c>
      <c r="R460" t="s">
        <v>1122</v>
      </c>
      <c r="S460" t="s">
        <v>1123</v>
      </c>
      <c r="T460">
        <v>1</v>
      </c>
      <c r="U460">
        <v>1</v>
      </c>
      <c r="V460">
        <v>82</v>
      </c>
      <c r="W460">
        <v>62</v>
      </c>
      <c r="Y460">
        <v>0.6590471160261796</v>
      </c>
      <c r="Z460">
        <v>0.66380918164555969</v>
      </c>
      <c r="AG460">
        <f t="shared" si="32"/>
        <v>25.888558084176829</v>
      </c>
    </row>
    <row r="461" spans="1:33" ht="75" x14ac:dyDescent="0.25">
      <c r="A461" s="38" t="s">
        <v>828</v>
      </c>
      <c r="B461" s="12" t="s">
        <v>823</v>
      </c>
      <c r="C461" s="37" t="s">
        <v>19</v>
      </c>
      <c r="D461">
        <v>1</v>
      </c>
      <c r="E461">
        <v>1</v>
      </c>
      <c r="F461" s="39">
        <v>2663</v>
      </c>
      <c r="G461">
        <v>2100</v>
      </c>
      <c r="H461">
        <v>2100</v>
      </c>
      <c r="I461">
        <v>2100</v>
      </c>
      <c r="K461">
        <v>6</v>
      </c>
      <c r="L461" t="s">
        <v>829</v>
      </c>
      <c r="M461" t="s">
        <v>831</v>
      </c>
      <c r="N461">
        <v>52</v>
      </c>
      <c r="O461">
        <f>1593-12.418*N461+0.065*N461*N461</f>
        <v>1123.0239999999999</v>
      </c>
      <c r="P461">
        <f>1451-5.739*N461</f>
        <v>1152.5720000000001</v>
      </c>
      <c r="T461" t="s">
        <v>28</v>
      </c>
      <c r="U461" t="s">
        <v>28</v>
      </c>
      <c r="V461">
        <v>70</v>
      </c>
      <c r="W461">
        <v>34</v>
      </c>
      <c r="Y461">
        <v>0.34599973591374428</v>
      </c>
      <c r="Z461">
        <v>0.34849982036391886</v>
      </c>
      <c r="AG461">
        <f t="shared" si="32"/>
        <v>2.090998922183513</v>
      </c>
    </row>
    <row r="462" spans="1:33" ht="90" x14ac:dyDescent="0.25">
      <c r="A462" s="38" t="s">
        <v>830</v>
      </c>
      <c r="B462" s="12" t="s">
        <v>53</v>
      </c>
      <c r="C462" s="37" t="s">
        <v>19</v>
      </c>
      <c r="D462">
        <v>0</v>
      </c>
      <c r="E462">
        <v>0</v>
      </c>
      <c r="F462" s="39">
        <v>5110</v>
      </c>
      <c r="G462">
        <v>5137</v>
      </c>
      <c r="H462">
        <v>5137</v>
      </c>
      <c r="I462">
        <v>5137</v>
      </c>
      <c r="K462">
        <v>13</v>
      </c>
      <c r="L462" t="s">
        <v>682</v>
      </c>
      <c r="M462" t="s">
        <v>831</v>
      </c>
      <c r="N462">
        <v>93</v>
      </c>
      <c r="O462">
        <f>1593-12.418*N462+0.065*N462*N462</f>
        <v>1000.3109999999999</v>
      </c>
      <c r="P462">
        <f>1451-5.739*N462</f>
        <v>917.27300000000002</v>
      </c>
      <c r="T462" t="s">
        <v>28</v>
      </c>
      <c r="U462" t="s">
        <v>28</v>
      </c>
      <c r="V462">
        <v>56</v>
      </c>
      <c r="W462">
        <v>8</v>
      </c>
      <c r="Y462">
        <v>0.84638125875662118</v>
      </c>
      <c r="Z462">
        <v>0.85249694152831001</v>
      </c>
      <c r="AG462">
        <f t="shared" si="32"/>
        <v>11.082460239868031</v>
      </c>
    </row>
    <row r="463" spans="1:33" x14ac:dyDescent="0.25">
      <c r="T463">
        <f>SUM(T456:T462)</f>
        <v>5</v>
      </c>
      <c r="U463">
        <f>SUM(U456:U462)</f>
        <v>5</v>
      </c>
      <c r="Y463">
        <v>281.99999999999994</v>
      </c>
      <c r="Z463">
        <v>285.00000000000006</v>
      </c>
      <c r="AG463">
        <f>SUM(AG1:AG462)/285</f>
        <v>34.962900636499846</v>
      </c>
    </row>
    <row r="464" spans="1:33" x14ac:dyDescent="0.25">
      <c r="AG464" t="s">
        <v>760</v>
      </c>
    </row>
    <row r="465" spans="7:22" x14ac:dyDescent="0.25">
      <c r="G465" s="21">
        <f>SUM(G1:G462)</f>
        <v>1947273</v>
      </c>
      <c r="H465" s="21">
        <f>SUM(H1:H462)</f>
        <v>1711562</v>
      </c>
      <c r="I465" s="21">
        <f>SUM(I1:I462)</f>
        <v>1717361</v>
      </c>
      <c r="T465">
        <f>T408+U449+T463+T285</f>
        <v>247</v>
      </c>
      <c r="V465" t="s">
        <v>763</v>
      </c>
    </row>
    <row r="466" spans="7:22" x14ac:dyDescent="0.25">
      <c r="G466" s="21"/>
      <c r="H466" s="21" t="s">
        <v>758</v>
      </c>
      <c r="I466" s="21" t="s">
        <v>759</v>
      </c>
    </row>
    <row r="467" spans="7:22" x14ac:dyDescent="0.25">
      <c r="G467" s="21"/>
      <c r="H467" s="21"/>
      <c r="I467" s="21"/>
      <c r="T467">
        <f>T410+T449+U463+U285</f>
        <v>242</v>
      </c>
      <c r="U467" t="s">
        <v>28</v>
      </c>
      <c r="V467" t="s">
        <v>764</v>
      </c>
    </row>
    <row r="468" spans="7:22" x14ac:dyDescent="0.25">
      <c r="G468" s="21"/>
      <c r="H468" s="21">
        <f>H465/T467</f>
        <v>7072.5702479338843</v>
      </c>
      <c r="I468" s="21">
        <f>I465/T465</f>
        <v>6952.8785425101214</v>
      </c>
    </row>
    <row r="469" spans="7:22" x14ac:dyDescent="0.25">
      <c r="G469" s="21"/>
      <c r="H469" s="21" t="s">
        <v>761</v>
      </c>
      <c r="I469" s="21" t="s">
        <v>762</v>
      </c>
    </row>
    <row r="495" spans="15:15" x14ac:dyDescent="0.25">
      <c r="O495" t="s">
        <v>28</v>
      </c>
    </row>
  </sheetData>
  <mergeCells count="40">
    <mergeCell ref="A91:A92"/>
    <mergeCell ref="B91:B92"/>
    <mergeCell ref="F91:F92"/>
    <mergeCell ref="J91:J92"/>
    <mergeCell ref="A105:A106"/>
    <mergeCell ref="B105:B106"/>
    <mergeCell ref="F105:F106"/>
    <mergeCell ref="J105:J106"/>
    <mergeCell ref="A111:A112"/>
    <mergeCell ref="B111:B112"/>
    <mergeCell ref="F111:F112"/>
    <mergeCell ref="J111:J112"/>
    <mergeCell ref="A115:A116"/>
    <mergeCell ref="B115:B116"/>
    <mergeCell ref="F115:F116"/>
    <mergeCell ref="J115:J116"/>
    <mergeCell ref="A117:A118"/>
    <mergeCell ref="B117:B118"/>
    <mergeCell ref="F117:F118"/>
    <mergeCell ref="J117:J118"/>
    <mergeCell ref="A120:A121"/>
    <mergeCell ref="B120:B121"/>
    <mergeCell ref="F120:F121"/>
    <mergeCell ref="J120:J121"/>
    <mergeCell ref="A122:A123"/>
    <mergeCell ref="B122:B123"/>
    <mergeCell ref="F122:F123"/>
    <mergeCell ref="J122:J123"/>
    <mergeCell ref="A132:A133"/>
    <mergeCell ref="B132:B133"/>
    <mergeCell ref="F132:F133"/>
    <mergeCell ref="J132:J133"/>
    <mergeCell ref="A135:A136"/>
    <mergeCell ref="B135:B136"/>
    <mergeCell ref="F135:F136"/>
    <mergeCell ref="J135:J136"/>
    <mergeCell ref="A142:A143"/>
    <mergeCell ref="B142:B143"/>
    <mergeCell ref="F142:F143"/>
    <mergeCell ref="J142:J143"/>
  </mergeCells>
  <hyperlinks>
    <hyperlink ref="A2" r:id="rId1" tooltip="American International College" display="http://en.wikipedia.org/wiki/American_International_College"/>
    <hyperlink ref="B2" r:id="rId2" tooltip="Springfield, Massachusetts" display="http://en.wikipedia.org/wiki/Springfield,_Massachusetts"/>
    <hyperlink ref="C2" r:id="rId3" tooltip="Non-profit" display="http://en.wikipedia.org/wiki/Non-profit"/>
    <hyperlink ref="F2" r:id="rId4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3" r:id="rId5" tooltip="Amherst College" display="http://en.wikipedia.org/wiki/Amherst_College"/>
    <hyperlink ref="B3" r:id="rId6" tooltip="Amherst, Massachusetts" display="http://en.wikipedia.org/wiki/Amherst,_Massachusetts"/>
    <hyperlink ref="C3" r:id="rId7" tooltip="Non-profit" display="http://en.wikipedia.org/wiki/Non-profit"/>
    <hyperlink ref="F3" r:id="rId8" location="Baccalaureate_Colleges" tooltip="Carnegie Classification of Institutions of Higher Education" display="http://en.wikipedia.org/wiki/Carnegie_Classification_of_Institutions_of_Higher_Education - Baccalaureate_Colleges"/>
    <hyperlink ref="A4" r:id="rId9" tooltip="Anna Maria College" display="http://en.wikipedia.org/wiki/Anna_Maria_College"/>
    <hyperlink ref="B4" r:id="rId10" tooltip="Paxton, Massachusetts" display="http://en.wikipedia.org/wiki/Paxton,_Massachusetts"/>
    <hyperlink ref="C4" r:id="rId11" tooltip="Non-profit" display="http://en.wikipedia.org/wiki/Non-profit"/>
    <hyperlink ref="F4" r:id="rId12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5" r:id="rId13" tooltip="Assumption College" display="http://en.wikipedia.org/wiki/Assumption_College"/>
    <hyperlink ref="B5" r:id="rId14" tooltip="Worcester, Massachusetts" display="http://en.wikipedia.org/wiki/Worcester,_Massachusetts"/>
    <hyperlink ref="C5" r:id="rId15" tooltip="Non-profit" display="http://en.wikipedia.org/wiki/Non-profit"/>
    <hyperlink ref="F5" r:id="rId16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6" r:id="rId17" tooltip="Bard College at Simon's Rock" display="http://en.wikipedia.org/wiki/Bard_College_at_Simon%27s_Rock"/>
    <hyperlink ref="B6" r:id="rId18" tooltip="Great Barrington, Massachusetts" display="http://en.wikipedia.org/wiki/Great_Barrington,_Massachusetts"/>
    <hyperlink ref="C6" r:id="rId19" tooltip="Non-profit" display="http://en.wikipedia.org/wiki/Non-profit"/>
    <hyperlink ref="F6" r:id="rId20" location="Baccalaureate_Colleges" tooltip="Carnegie Classification of Institutions of Higher Education" display="http://en.wikipedia.org/wiki/Carnegie_Classification_of_Institutions_of_Higher_Education - Baccalaureate_Colleges"/>
    <hyperlink ref="A7" r:id="rId21" tooltip="Bay Path University" display="http://en.wikipedia.org/wiki/Bay_Path_University"/>
    <hyperlink ref="B7" r:id="rId22" tooltip="Longmeadow, Massachusetts" display="http://en.wikipedia.org/wiki/Longmeadow,_Massachusetts"/>
    <hyperlink ref="C7" r:id="rId23" tooltip="Non-profit" display="http://en.wikipedia.org/wiki/Non-profit"/>
    <hyperlink ref="F7" r:id="rId24" location="Baccalaureate_Colleges" tooltip="Carnegie Classification of Institutions of Higher Education" display="http://en.wikipedia.org/wiki/Carnegie_Classification_of_Institutions_of_Higher_Education - Baccalaureate_Colleges"/>
    <hyperlink ref="A8" r:id="rId25" tooltip="Becker College" display="http://en.wikipedia.org/wiki/Becker_College"/>
    <hyperlink ref="B8" r:id="rId26" tooltip="Worcester, Massachusetts" display="http://en.wikipedia.org/wiki/Worcester,_Massachusetts"/>
    <hyperlink ref="C8" r:id="rId27" tooltip="Non-profit" display="http://en.wikipedia.org/wiki/Non-profit"/>
    <hyperlink ref="F8" r:id="rId28" location="Baccalaureate_Colleges" tooltip="Carnegie Classification of Institutions of Higher Education" display="http://en.wikipedia.org/wiki/Carnegie_Classification_of_Institutions_of_Higher_Education - Baccalaureate_Colleges"/>
    <hyperlink ref="A9" r:id="rId29" tooltip="Bentley University" display="http://en.wikipedia.org/wiki/Bentley_University"/>
    <hyperlink ref="B9" r:id="rId30" tooltip="Waltham, Massachusetts" display="http://en.wikipedia.org/wiki/Waltham,_Massachusetts"/>
    <hyperlink ref="C9" r:id="rId31" tooltip="Non-profit" display="http://en.wikipedia.org/wiki/Non-profit"/>
    <hyperlink ref="F9" r:id="rId32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10" r:id="rId33" tooltip="Boston College" display="http://en.wikipedia.org/wiki/Boston_College"/>
    <hyperlink ref="B10" r:id="rId34" tooltip="Chestnut Hill, Massachusetts" display="http://en.wikipedia.org/wiki/Chestnut_Hill,_Massachusetts"/>
    <hyperlink ref="C10" r:id="rId35" tooltip="Non-profit" display="http://en.wikipedia.org/wiki/Non-profit"/>
    <hyperlink ref="F10" r:id="rId36" location="Doctorate-granting_Universities" tooltip="Carnegie Classification of Institutions of Higher Education" display="http://en.wikipedia.org/wiki/Carnegie_Classification_of_Institutions_of_Higher_Education - Doctorate-granting_Universities"/>
    <hyperlink ref="A11" r:id="rId37" tooltip="Boston University" display="http://en.wikipedia.org/wiki/Boston_University"/>
    <hyperlink ref="B11" r:id="rId38" tooltip="Boston" display="http://en.wikipedia.org/wiki/Boston"/>
    <hyperlink ref="C11" r:id="rId39" tooltip="Non-profit" display="http://en.wikipedia.org/wiki/Non-profit"/>
    <hyperlink ref="F11" r:id="rId40" location="Doctorate-granting_Universities" tooltip="Carnegie Classification of Institutions of Higher Education" display="http://en.wikipedia.org/wiki/Carnegie_Classification_of_Institutions_of_Higher_Education - Doctorate-granting_Universities"/>
    <hyperlink ref="A12" r:id="rId41" tooltip="Brandeis University" display="http://en.wikipedia.org/wiki/Brandeis_University"/>
    <hyperlink ref="B12" r:id="rId42" tooltip="Waltham, Massachusetts" display="http://en.wikipedia.org/wiki/Waltham,_Massachusetts"/>
    <hyperlink ref="C12" r:id="rId43" tooltip="Non-profit" display="http://en.wikipedia.org/wiki/Non-profit"/>
    <hyperlink ref="F12" r:id="rId44" location="Doctorate-granting_Universities" tooltip="Carnegie Classification of Institutions of Higher Education" display="http://en.wikipedia.org/wiki/Carnegie_Classification_of_Institutions_of_Higher_Education - Doctorate-granting_Universities"/>
    <hyperlink ref="A13" r:id="rId45" tooltip="Bridgewater State University" display="http://en.wikipedia.org/wiki/Bridgewater_State_University"/>
    <hyperlink ref="B13" r:id="rId46" tooltip="Bridgewater, Massachusetts" display="http://en.wikipedia.org/wiki/Bridgewater,_Massachusetts"/>
    <hyperlink ref="C13" r:id="rId47" tooltip="Public university" display="http://en.wikipedia.org/wiki/Public_university"/>
    <hyperlink ref="F13" r:id="rId48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14" r:id="rId49" tooltip="Cambridge College" display="http://en.wikipedia.org/wiki/Cambridge_College"/>
    <hyperlink ref="B14" r:id="rId50" tooltip="Cambridge, Massachusetts" display="http://en.wikipedia.org/wiki/Cambridge,_Massachusetts"/>
    <hyperlink ref="C14" r:id="rId51" tooltip="Non-profit" display="http://en.wikipedia.org/wiki/Non-profit"/>
    <hyperlink ref="F14" r:id="rId52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15" r:id="rId53" tooltip="Clark University" display="http://en.wikipedia.org/wiki/Clark_University"/>
    <hyperlink ref="B15" r:id="rId54" tooltip="Worcester, Massachusetts" display="http://en.wikipedia.org/wiki/Worcester,_Massachusetts"/>
    <hyperlink ref="C15" r:id="rId55" tooltip="Non-profit" display="http://en.wikipedia.org/wiki/Non-profit"/>
    <hyperlink ref="F15" r:id="rId56" location="Doctorate-granting_Universities" tooltip="Carnegie Classification of Institutions of Higher Education" display="http://en.wikipedia.org/wiki/Carnegie_Classification_of_Institutions_of_Higher_Education - Doctorate-granting_Universities"/>
    <hyperlink ref="A16" r:id="rId57" tooltip="College of the Holy Cross" display="http://en.wikipedia.org/wiki/College_of_the_Holy_Cross"/>
    <hyperlink ref="B16" r:id="rId58" tooltip="Worcester, Massachusetts" display="http://en.wikipedia.org/wiki/Worcester,_Massachusetts"/>
    <hyperlink ref="C16" r:id="rId59" tooltip="Non-profit" display="http://en.wikipedia.org/wiki/Non-profit"/>
    <hyperlink ref="F16" r:id="rId60" location="Baccalaureate_Colleges" tooltip="Carnegie Classification of Institutions of Higher Education" display="http://en.wikipedia.org/wiki/Carnegie_Classification_of_Institutions_of_Higher_Education - Baccalaureate_Colleges"/>
    <hyperlink ref="A17" r:id="rId61" tooltip="Eastern Nazarene College" display="http://en.wikipedia.org/wiki/Eastern_Nazarene_College"/>
    <hyperlink ref="B17" r:id="rId62" tooltip="Quincy, Massachusetts" display="http://en.wikipedia.org/wiki/Quincy,_Massachusetts"/>
    <hyperlink ref="C17" r:id="rId63" tooltip="Non-profit" display="http://en.wikipedia.org/wiki/Non-profit"/>
    <hyperlink ref="F17" r:id="rId64" location="Baccalaureate_Colleges" tooltip="Carnegie Classification of Institutions of Higher Education" display="http://en.wikipedia.org/wiki/Carnegie_Classification_of_Institutions_of_Higher_Education - Baccalaureate_Colleges"/>
    <hyperlink ref="A18" r:id="rId65" tooltip="Elms College" display="http://en.wikipedia.org/wiki/Elms_College"/>
    <hyperlink ref="B18" r:id="rId66" tooltip="Chicopee, Massachusetts" display="http://en.wikipedia.org/wiki/Chicopee,_Massachusetts"/>
    <hyperlink ref="C18" r:id="rId67" tooltip="Non-profit" display="http://en.wikipedia.org/wiki/Non-profit"/>
    <hyperlink ref="F18" r:id="rId68" location="Baccalaureate_Colleges" tooltip="Carnegie Classification of Institutions of Higher Education" display="http://en.wikipedia.org/wiki/Carnegie_Classification_of_Institutions_of_Higher_Education - Baccalaureate_Colleges"/>
    <hyperlink ref="A19" r:id="rId69" tooltip="Emerson College" display="http://en.wikipedia.org/wiki/Emerson_College"/>
    <hyperlink ref="B19" r:id="rId70" tooltip="Boston" display="http://en.wikipedia.org/wiki/Boston"/>
    <hyperlink ref="C19" r:id="rId71" tooltip="Non-profit" display="http://en.wikipedia.org/wiki/Non-profit"/>
    <hyperlink ref="F19" r:id="rId72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20" r:id="rId73" tooltip="Emmanuel College (Massachusetts)" display="http://en.wikipedia.org/wiki/Emmanuel_College_%28Massachusetts%29"/>
    <hyperlink ref="B20" r:id="rId74" tooltip="Boston" display="http://en.wikipedia.org/wiki/Boston"/>
    <hyperlink ref="C20" r:id="rId75" tooltip="Non-profit" display="http://en.wikipedia.org/wiki/Non-profit"/>
    <hyperlink ref="F20" r:id="rId76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21" r:id="rId77" tooltip="Endicott College" display="http://en.wikipedia.org/wiki/Endicott_College"/>
    <hyperlink ref="B21" r:id="rId78" tooltip="Beverly, Massachusetts" display="http://en.wikipedia.org/wiki/Beverly,_Massachusetts"/>
    <hyperlink ref="C21" r:id="rId79" tooltip="Non-profit" display="http://en.wikipedia.org/wiki/Non-profit"/>
    <hyperlink ref="F21" r:id="rId80" location="Master.E2.80.99s_Colleges_and_Universities" tooltip="Carnegie Classification of Institutions of Higher Education" display="http://en.wikipedia.org/wiki/Carnegie_Classification_of_Institutions_of_Higher_Education - Master.E2.80.99s_Colleges_and_Universities"/>
    <hyperlink ref="A22" r:id="rId81" tooltip="Fisher College" display="http://en.wikipedia.org/wiki/Fisher_College"/>
    <hyperlink ref="B22" r:id="rId82" tooltip="Boston" display="http://en.wikipedia.org/wiki/Boston"/>
    <hyperlink ref="C22" r:id="rId83" tooltip="Non-profit" display="http://en.wikipedia.org/wiki/Non-profit"/>
    <hyperlink ref="F22" r:id="rId84" location="Baccalaureate_Colleges" tooltip="Carnegie Classification of Institutions of Higher Education" display="http://en.wikipedia.org/wiki/Carnegie_Classification_of_Institutions_of_Higher_Education - Baccalaureate_Colleges"/>
    <hyperlink ref="A23" r:id="rId85" tooltip="Fitchburg State University" display="http://en.wikipedia.org/wiki/Fitchburg_State_University"/>
    <hyperlink ref="B23" r:id="rId86" tooltip="Fitchburg, Massachusetts" display="http://en.wikipedia.org/wiki/Fitchburg,_Massachusetts"/>
    <hyperlink ref="C23" r:id="rId87" tooltip="Public university" display="http://en.wikipedia.org/wiki/Public_university"/>
    <hyperlink ref="F23" r:id="rId88" location="Master.E2.80.99s_Colleges_and_Universities" tooltip="Carnegie Classification of Institutions of Higher Education" display="http://en.wikipedia.org/wiki/Carnegie_Classification_of_Institutions_of_Higher_Education - Master.E2.80.99s_Colleges_and_Universities"/>
    <hyperlink ref="A24" r:id="rId89" tooltip="Framingham State University" display="http://en.wikipedia.org/wiki/Framingham_State_University"/>
    <hyperlink ref="B24" r:id="rId90" tooltip="Framingham, Massachusetts" display="http://en.wikipedia.org/wiki/Framingham,_Massachusetts"/>
    <hyperlink ref="C24" r:id="rId91" tooltip="Public university" display="http://en.wikipedia.org/wiki/Public_university"/>
    <hyperlink ref="F24" r:id="rId92" location="Master.E2.80.99s_Colleges_and_Universities" tooltip="Carnegie Classification of Institutions of Higher Education" display="http://en.wikipedia.org/wiki/Carnegie_Classification_of_Institutions_of_Higher_Education - Master.E2.80.99s_Colleges_and_Universities"/>
    <hyperlink ref="A25" r:id="rId93" tooltip="Gordon College (Massachusetts)" display="http://en.wikipedia.org/wiki/Gordon_College_%28Massachusetts%29"/>
    <hyperlink ref="B25" r:id="rId94" tooltip="Wenham, Massachusetts" display="http://en.wikipedia.org/wiki/Wenham,_Massachusetts"/>
    <hyperlink ref="C25" r:id="rId95" tooltip="Non-profit" display="http://en.wikipedia.org/wiki/Non-profit"/>
    <hyperlink ref="F25" r:id="rId96" location="Baccalaureate_Colleges" tooltip="Carnegie Classification of Institutions of Higher Education" display="http://en.wikipedia.org/wiki/Carnegie_Classification_of_Institutions_of_Higher_Education - Baccalaureate_Colleges"/>
    <hyperlink ref="A26" r:id="rId97" tooltip="Hampshire College" display="http://en.wikipedia.org/wiki/Hampshire_College"/>
    <hyperlink ref="B26" r:id="rId98" tooltip="Amherst, Massachusetts" display="http://en.wikipedia.org/wiki/Amherst,_Massachusetts"/>
    <hyperlink ref="C26" r:id="rId99" tooltip="Non-profit" display="http://en.wikipedia.org/wiki/Non-profit"/>
    <hyperlink ref="F26" r:id="rId100" location="Baccalaureate_Colleges" tooltip="Carnegie Classification of Institutions of Higher Education" display="http://en.wikipedia.org/wiki/Carnegie_Classification_of_Institutions_of_Higher_Education - Baccalaureate_Colleges"/>
    <hyperlink ref="A27" r:id="rId101" tooltip="Harvard University" display="http://en.wikipedia.org/wiki/Harvard_University"/>
    <hyperlink ref="B27" r:id="rId102" tooltip="Cambridge, Massachusetts" display="http://en.wikipedia.org/wiki/Cambridge,_Massachusetts"/>
    <hyperlink ref="C27" r:id="rId103" tooltip="Non-profit" display="http://en.wikipedia.org/wiki/Non-profit"/>
    <hyperlink ref="F27" r:id="rId104" tooltip="Research university" display="http://en.wikipedia.org/wiki/Research_university"/>
    <hyperlink ref="A28" r:id="rId105" tooltip="Lasell College" display="http://en.wikipedia.org/wiki/Lasell_College"/>
    <hyperlink ref="B28" r:id="rId106" tooltip="Newton, Massachusetts" display="http://en.wikipedia.org/wiki/Newton,_Massachusetts"/>
    <hyperlink ref="C28" r:id="rId107" tooltip="Non-profit" display="http://en.wikipedia.org/wiki/Non-profit"/>
    <hyperlink ref="F28" r:id="rId108" location="Baccalaureate_Colleges" tooltip="Carnegie Classification of Institutions of Higher Education" display="http://en.wikipedia.org/wiki/Carnegie_Classification_of_Institutions_of_Higher_Education - Baccalaureate_Colleges"/>
    <hyperlink ref="A29" r:id="rId109" tooltip="Lesley University" display="http://en.wikipedia.org/wiki/Lesley_University"/>
    <hyperlink ref="B29" r:id="rId110" tooltip="Cambridge, Massachusetts" display="http://en.wikipedia.org/wiki/Cambridge,_Massachusetts"/>
    <hyperlink ref="C29" r:id="rId111" tooltip="Non-profit" display="http://en.wikipedia.org/wiki/Non-profit"/>
    <hyperlink ref="F29" r:id="rId112" location="Master.E2.80.99s_Colleges_and_Universities" tooltip="Carnegie Classification of Institutions of Higher Education" display="http://en.wikipedia.org/wiki/Carnegie_Classification_of_Institutions_of_Higher_Education - Master.E2.80.99s_Colleges_and_Universities"/>
    <hyperlink ref="A30" r:id="rId113" tooltip="Massachusetts College of Liberal Arts" display="http://en.wikipedia.org/wiki/Massachusetts_College_of_Liberal_Arts"/>
    <hyperlink ref="B30" r:id="rId114" tooltip="North Adams, Massachusetts" display="http://en.wikipedia.org/wiki/North_Adams,_Massachusetts"/>
    <hyperlink ref="C30" r:id="rId115" tooltip="Public university" display="http://en.wikipedia.org/wiki/Public_university"/>
    <hyperlink ref="F30" r:id="rId116" location="Baccalaureate_Colleges" tooltip="Carnegie Classification of Institutions of Higher Education" display="http://en.wikipedia.org/wiki/Carnegie_Classification_of_Institutions_of_Higher_Education - Baccalaureate_Colleges"/>
    <hyperlink ref="A31" r:id="rId117" tooltip="Massachusetts Institute of Technology" display="http://en.wikipedia.org/wiki/Massachusetts_Institute_of_Technology"/>
    <hyperlink ref="B31" r:id="rId118" tooltip="Cambridge, Massachusetts" display="http://en.wikipedia.org/wiki/Cambridge,_Massachusetts"/>
    <hyperlink ref="C31" r:id="rId119" tooltip="Non-profit" display="http://en.wikipedia.org/wiki/Non-profit"/>
    <hyperlink ref="F31" r:id="rId120" tooltip="Research university" display="http://en.wikipedia.org/wiki/Research_university"/>
    <hyperlink ref="A32" r:id="rId121" tooltip="Massachusetts Maritime Academy" display="http://en.wikipedia.org/wiki/Massachusetts_Maritime_Academy"/>
    <hyperlink ref="B32" r:id="rId122" tooltip="Bourne, Massachusetts" display="http://en.wikipedia.org/wiki/Bourne,_Massachusetts"/>
    <hyperlink ref="C32" r:id="rId123" tooltip="Public university" display="http://en.wikipedia.org/wiki/Public_university"/>
    <hyperlink ref="F32" r:id="rId124" location="Baccalaureate_Colleges" tooltip="Carnegie Classification of Institutions of Higher Education" display="http://en.wikipedia.org/wiki/Carnegie_Classification_of_Institutions_of_Higher_Education - Baccalaureate_Colleges"/>
    <hyperlink ref="A33" r:id="rId125" tooltip="Merrimack College" display="http://en.wikipedia.org/wiki/Merrimack_College"/>
    <hyperlink ref="B33" r:id="rId126" tooltip="North Andover, Massachusetts" display="http://en.wikipedia.org/wiki/North_Andover,_Massachusetts"/>
    <hyperlink ref="C33" r:id="rId127" tooltip="Non-profit" display="http://en.wikipedia.org/wiki/Non-profit"/>
    <hyperlink ref="F33" r:id="rId128" location="Baccalaureate_Colleges" tooltip="Carnegie Classification of Institutions of Higher Education" display="http://en.wikipedia.org/wiki/Carnegie_Classification_of_Institutions_of_Higher_Education - Baccalaureate_Colleges"/>
    <hyperlink ref="A34" r:id="rId129" tooltip="MGH Institute of Health Professions" display="http://en.wikipedia.org/wiki/MGH_Institute_of_Health_Professions"/>
    <hyperlink ref="B34" r:id="rId130" tooltip="Boston" display="http://en.wikipedia.org/wiki/Boston"/>
    <hyperlink ref="C34" r:id="rId131" tooltip="Non-profit" display="http://en.wikipedia.org/wiki/Non-profit"/>
    <hyperlink ref="F34" r:id="rId132" location="Baccalaureate_Colleges" tooltip="Carnegie Classification of Institutions of Higher Education" display="http://en.wikipedia.org/wiki/Carnegie_Classification_of_Institutions_of_Higher_Education - Baccalaureate_Colleges"/>
    <hyperlink ref="A35" r:id="rId133" tooltip="Mount Holyoke College" display="http://en.wikipedia.org/wiki/Mount_Holyoke_College"/>
    <hyperlink ref="B35" r:id="rId134" tooltip="South Hadley, Massachusetts" display="http://en.wikipedia.org/wiki/South_Hadley,_Massachusetts"/>
    <hyperlink ref="C35" r:id="rId135" tooltip="Non-profit" display="http://en.wikipedia.org/wiki/Non-profit"/>
    <hyperlink ref="F35" r:id="rId136" location="Baccalaureate_Colleges" tooltip="Carnegie Classification of Institutions of Higher Education" display="http://en.wikipedia.org/wiki/Carnegie_Classification_of_Institutions_of_Higher_Education - Baccalaureate_Colleges"/>
    <hyperlink ref="A36" r:id="rId137" tooltip="Mount Ida College" display="http://en.wikipedia.org/wiki/Mount_Ida_College"/>
    <hyperlink ref="B36" r:id="rId138" tooltip="Newton, Massachusetts" display="http://en.wikipedia.org/wiki/Newton,_Massachusetts"/>
    <hyperlink ref="C36" r:id="rId139" tooltip="Non-profit" display="http://en.wikipedia.org/wiki/Non-profit"/>
    <hyperlink ref="F36" r:id="rId140" location="Baccalaureate_Colleges" tooltip="Carnegie Classification of Institutions of Higher Education" display="http://en.wikipedia.org/wiki/Carnegie_Classification_of_Institutions_of_Higher_Education - Baccalaureate_Colleges"/>
    <hyperlink ref="A37" r:id="rId141" tooltip="Newbury College (United States)" display="http://en.wikipedia.org/wiki/Newbury_College_%28United_States%29"/>
    <hyperlink ref="B37" r:id="rId142" tooltip="Brookline, Massachusetts" display="http://en.wikipedia.org/wiki/Brookline,_Massachusetts"/>
    <hyperlink ref="C37" r:id="rId143" tooltip="Non-profit" display="http://en.wikipedia.org/wiki/Non-profit"/>
    <hyperlink ref="F37" r:id="rId144" location="Baccalaureate_Colleges" tooltip="Carnegie Classification of Institutions of Higher Education" display="http://en.wikipedia.org/wiki/Carnegie_Classification_of_Institutions_of_Higher_Education - Baccalaureate_Colleges"/>
    <hyperlink ref="A38" r:id="rId145" tooltip="Northeastern University" display="http://en.wikipedia.org/wiki/Northeastern_University"/>
    <hyperlink ref="B38" r:id="rId146" tooltip="Boston" display="http://en.wikipedia.org/wiki/Boston"/>
    <hyperlink ref="C38" r:id="rId147" tooltip="Non-profit" display="http://en.wikipedia.org/wiki/Non-profit"/>
    <hyperlink ref="F38" r:id="rId148" tooltip="Research university" display="http://en.wikipedia.org/wiki/Research_university"/>
    <hyperlink ref="A40" r:id="rId149" tooltip="Pine Manor College" display="http://en.wikipedia.org/wiki/Pine_Manor_College"/>
    <hyperlink ref="B40" r:id="rId150" tooltip="Chestnut Hill, Massachusetts" display="http://en.wikipedia.org/wiki/Chestnut_Hill,_Massachusetts"/>
    <hyperlink ref="C40" r:id="rId151" tooltip="Non-profit" display="http://en.wikipedia.org/wiki/Non-profit"/>
    <hyperlink ref="F40" r:id="rId152" location="Baccalaureate_Colleges" tooltip="Carnegie Classification of Institutions of Higher Education" display="http://en.wikipedia.org/wiki/Carnegie_Classification_of_Institutions_of_Higher_Education - Baccalaureate_Colleges"/>
    <hyperlink ref="A41" r:id="rId153" tooltip="Regis College, Massachusetts" display="http://en.wikipedia.org/wiki/Regis_College,_Massachusetts"/>
    <hyperlink ref="B41" r:id="rId154" tooltip="Weston, Massachusetts" display="http://en.wikipedia.org/wiki/Weston,_Massachusetts"/>
    <hyperlink ref="C41" r:id="rId155" tooltip="Non-profit" display="http://en.wikipedia.org/wiki/Non-profit"/>
    <hyperlink ref="F41" r:id="rId156" location="Master.E2.80.99s_Colleges_and_Universities" tooltip="Carnegie Classification of Institutions of Higher Education" display="http://en.wikipedia.org/wiki/Carnegie_Classification_of_Institutions_of_Higher_Education - Master.E2.80.99s_Colleges_and_Universities"/>
    <hyperlink ref="A42" r:id="rId157" tooltip="Salem State University" display="http://en.wikipedia.org/wiki/Salem_State_University"/>
    <hyperlink ref="B42" r:id="rId158" tooltip="Salem, Massachusetts" display="http://en.wikipedia.org/wiki/Salem,_Massachusetts"/>
    <hyperlink ref="C42" r:id="rId159" tooltip="Public university" display="http://en.wikipedia.org/wiki/Public_university"/>
    <hyperlink ref="F42" r:id="rId160" location="Master.E2.80.99s_Colleges_and_Universities" tooltip="Carnegie Classification of Institutions of Higher Education" display="http://en.wikipedia.org/wiki/Carnegie_Classification_of_Institutions_of_Higher_Education - Master.E2.80.99s_Colleges_and_Universities"/>
    <hyperlink ref="A43" r:id="rId161" tooltip="Simmons College (Massachusetts)" display="http://en.wikipedia.org/wiki/Simmons_College_%28Massachusetts%29"/>
    <hyperlink ref="B43" r:id="rId162" tooltip="Boston" display="http://en.wikipedia.org/wiki/Boston"/>
    <hyperlink ref="C43" r:id="rId163" tooltip="Non-profit" display="http://en.wikipedia.org/wiki/Non-profit"/>
    <hyperlink ref="F43" r:id="rId164" location="Master.E2.80.99s_Colleges_and_Universities" tooltip="Carnegie Classification of Institutions of Higher Education" display="http://en.wikipedia.org/wiki/Carnegie_Classification_of_Institutions_of_Higher_Education - Master.E2.80.99s_Colleges_and_Universities"/>
    <hyperlink ref="A44" r:id="rId165" tooltip="Smith College" display="http://en.wikipedia.org/wiki/Smith_College"/>
    <hyperlink ref="B44" r:id="rId166" tooltip="Northampton, Massachusetts" display="http://en.wikipedia.org/wiki/Northampton,_Massachusetts"/>
    <hyperlink ref="C44" r:id="rId167" tooltip="Non-profit" display="http://en.wikipedia.org/wiki/Non-profit"/>
    <hyperlink ref="F44" r:id="rId168" location="Baccalaureate_Colleges" tooltip="Carnegie Classification of Institutions of Higher Education" display="http://en.wikipedia.org/wiki/Carnegie_Classification_of_Institutions_of_Higher_Education - Baccalaureate_Colleges"/>
    <hyperlink ref="A45" r:id="rId169" tooltip="Springfield College" display="http://en.wikipedia.org/wiki/Springfield_College"/>
    <hyperlink ref="B45" r:id="rId170" tooltip="Springfield, Massachusetts" display="http://en.wikipedia.org/wiki/Springfield,_Massachusetts"/>
    <hyperlink ref="C45" r:id="rId171" tooltip="Non-profit" display="http://en.wikipedia.org/wiki/Non-profit"/>
    <hyperlink ref="F45" r:id="rId172" location="Master.E2.80.99s_Colleges_and_Universities" tooltip="Carnegie Classification of Institutions of Higher Education" display="http://en.wikipedia.org/wiki/Carnegie_Classification_of_Institutions_of_Higher_Education - Master.E2.80.99s_Colleges_and_Universities"/>
    <hyperlink ref="A46" r:id="rId173" tooltip="Stonehill College" display="http://en.wikipedia.org/wiki/Stonehill_College"/>
    <hyperlink ref="B46" r:id="rId174" tooltip="Easton, Massachusetts" display="http://en.wikipedia.org/wiki/Easton,_Massachusetts"/>
    <hyperlink ref="C46" r:id="rId175" tooltip="Non-profit" display="http://en.wikipedia.org/wiki/Non-profit"/>
    <hyperlink ref="F46" r:id="rId176" location="Baccalaureate_Colleges" tooltip="Carnegie Classification of Institutions of Higher Education" display="http://en.wikipedia.org/wiki/Carnegie_Classification_of_Institutions_of_Higher_Education - Baccalaureate_Colleges"/>
    <hyperlink ref="A47" r:id="rId177" tooltip="Suffolk University" display="http://en.wikipedia.org/wiki/Suffolk_University"/>
    <hyperlink ref="B47" r:id="rId178" tooltip="Boston" display="http://en.wikipedia.org/wiki/Boston"/>
    <hyperlink ref="C47" r:id="rId179" tooltip="Non-profit" display="http://en.wikipedia.org/wiki/Non-profit"/>
    <hyperlink ref="F47" r:id="rId180" tooltip="Research university" display="http://en.wikipedia.org/wiki/Research_university"/>
    <hyperlink ref="A48" r:id="rId181" tooltip="Tufts University" display="http://en.wikipedia.org/wiki/Tufts_University"/>
    <hyperlink ref="B48" r:id="rId182" tooltip="Medford, Massachusetts" display="http://en.wikipedia.org/wiki/Medford,_Massachusetts"/>
    <hyperlink ref="C48" r:id="rId183" tooltip="Non-profit" display="http://en.wikipedia.org/wiki/Non-profit"/>
    <hyperlink ref="F48" r:id="rId184" tooltip="Research university" display="http://en.wikipedia.org/wiki/Research_university"/>
    <hyperlink ref="A49" r:id="rId185" tooltip="University of Massachusetts Amherst" display="http://en.wikipedia.org/wiki/University_of_Massachusetts_Amherst"/>
    <hyperlink ref="B49" r:id="rId186" tooltip="Amherst, Massachusetts" display="http://en.wikipedia.org/wiki/Amherst,_Massachusetts"/>
    <hyperlink ref="C49" r:id="rId187" tooltip="Public university" display="http://en.wikipedia.org/wiki/Public_university"/>
    <hyperlink ref="F49" r:id="rId188" tooltip="Research university" display="http://en.wikipedia.org/wiki/Research_university"/>
    <hyperlink ref="A50" r:id="rId189" tooltip="University of Massachusetts Boston" display="http://en.wikipedia.org/wiki/University_of_Massachusetts_Boston"/>
    <hyperlink ref="B50" r:id="rId190" tooltip="Boston" display="http://en.wikipedia.org/wiki/Boston"/>
    <hyperlink ref="C50" r:id="rId191" tooltip="Public university" display="http://en.wikipedia.org/wiki/Public_university"/>
    <hyperlink ref="F50" r:id="rId192" tooltip="Research university" display="http://en.wikipedia.org/wiki/Research_university"/>
    <hyperlink ref="A51" r:id="rId193" tooltip="University of Massachusetts Dartmouth" display="http://en.wikipedia.org/wiki/University_of_Massachusetts_Dartmouth"/>
    <hyperlink ref="B51" r:id="rId194" tooltip="Dartmouth, Massachusetts" display="http://en.wikipedia.org/wiki/Dartmouth,_Massachusetts"/>
    <hyperlink ref="C51" r:id="rId195" tooltip="Public university" display="http://en.wikipedia.org/wiki/Public_university"/>
    <hyperlink ref="F51" r:id="rId196" location="Master.E2.80.99s_Colleges_and_Universities" tooltip="Carnegie Classification of Institutions of Higher Education" display="http://en.wikipedia.org/wiki/Carnegie_Classification_of_Institutions_of_Higher_Education - Master.E2.80.99s_Colleges_and_Universities"/>
    <hyperlink ref="A52" r:id="rId197" tooltip="University of Massachusetts Lowell" display="http://en.wikipedia.org/wiki/University_of_Massachusetts_Lowell"/>
    <hyperlink ref="B52" r:id="rId198" tooltip="Lowell, Massachusetts" display="http://en.wikipedia.org/wiki/Lowell,_Massachusetts"/>
    <hyperlink ref="C52" r:id="rId199" tooltip="Public university" display="http://en.wikipedia.org/wiki/Public_university"/>
    <hyperlink ref="F52" r:id="rId200" tooltip="Research university" display="http://en.wikipedia.org/wiki/Research_university"/>
    <hyperlink ref="A53" r:id="rId201" tooltip="Wellesley College" display="http://en.wikipedia.org/wiki/Wellesley_College"/>
    <hyperlink ref="B53" r:id="rId202" tooltip="Wellesley, Massachusetts" display="http://en.wikipedia.org/wiki/Wellesley,_Massachusetts"/>
    <hyperlink ref="C53" r:id="rId203" tooltip="Non-profit" display="http://en.wikipedia.org/wiki/Non-profit"/>
    <hyperlink ref="F53" r:id="rId204" location="Baccalaureate_Colleges" tooltip="Carnegie Classification of Institutions of Higher Education" display="http://en.wikipedia.org/wiki/Carnegie_Classification_of_Institutions_of_Higher_Education - Baccalaureate_Colleges"/>
    <hyperlink ref="A54" r:id="rId205" tooltip="Western New England University" display="http://en.wikipedia.org/wiki/Western_New_England_University"/>
    <hyperlink ref="B54" r:id="rId206" tooltip="Springfield, Massachusetts" display="http://en.wikipedia.org/wiki/Springfield,_Massachusetts"/>
    <hyperlink ref="C54" r:id="rId207" tooltip="Non-profit" display="http://en.wikipedia.org/wiki/Non-profit"/>
    <hyperlink ref="F54" r:id="rId208" location="Master.E2.80.99s_Colleges_and_Universities" tooltip="Carnegie Classification of Institutions of Higher Education" display="http://en.wikipedia.org/wiki/Carnegie_Classification_of_Institutions_of_Higher_Education - Master.E2.80.99s_Colleges_and_Universities"/>
    <hyperlink ref="A55" r:id="rId209" tooltip="Westfield State University" display="http://en.wikipedia.org/wiki/Westfield_State_University"/>
    <hyperlink ref="B55" r:id="rId210" tooltip="Westfield, Massachusetts" display="http://en.wikipedia.org/wiki/Westfield,_Massachusetts"/>
    <hyperlink ref="C55" r:id="rId211" tooltip="Public university" display="http://en.wikipedia.org/wiki/Public_university"/>
    <hyperlink ref="F55" r:id="rId212" location="Master.E2.80.99s_Colleges_and_Universities" tooltip="Carnegie Classification of Institutions of Higher Education" display="http://en.wikipedia.org/wiki/Carnegie_Classification_of_Institutions_of_Higher_Education - Master.E2.80.99s_Colleges_and_Universities"/>
    <hyperlink ref="A56" r:id="rId213" tooltip="Wheaton College (Massachusetts)" display="http://en.wikipedia.org/wiki/Wheaton_College_%28Massachusetts%29"/>
    <hyperlink ref="B56" r:id="rId214" tooltip="Norton, Massachusetts" display="http://en.wikipedia.org/wiki/Norton,_Massachusetts"/>
    <hyperlink ref="C56" r:id="rId215" tooltip="Non-profit" display="http://en.wikipedia.org/wiki/Non-profit"/>
    <hyperlink ref="F56" r:id="rId216" location="Baccalaureate_Colleges" tooltip="Carnegie Classification of Institutions of Higher Education" display="http://en.wikipedia.org/wiki/Carnegie_Classification_of_Institutions_of_Higher_Education - Baccalaureate_Colleges"/>
    <hyperlink ref="A57" r:id="rId217" tooltip="Wheelock College" display="http://en.wikipedia.org/wiki/Wheelock_College"/>
    <hyperlink ref="B57" r:id="rId218" tooltip="Boston" display="http://en.wikipedia.org/wiki/Boston"/>
    <hyperlink ref="C57" r:id="rId219" tooltip="Non-profit" display="http://en.wikipedia.org/wiki/Non-profit"/>
    <hyperlink ref="F57" r:id="rId220" tooltip="Master's degree" display="http://en.wikipedia.org/wiki/Master%27s_degree"/>
    <hyperlink ref="A58" r:id="rId221" tooltip="Williams College" display="http://en.wikipedia.org/wiki/Williams_College"/>
    <hyperlink ref="B58" r:id="rId222" tooltip="Williamstown, Massachusetts" display="http://en.wikipedia.org/wiki/Williamstown,_Massachusetts"/>
    <hyperlink ref="C58" r:id="rId223" tooltip="Non-profit" display="http://en.wikipedia.org/wiki/Non-profit"/>
    <hyperlink ref="F58" r:id="rId224" location="Baccalaureate_Colleges" tooltip="Carnegie Classification of Institutions of Higher Education" display="http://en.wikipedia.org/wiki/Carnegie_Classification_of_Institutions_of_Higher_Education - Baccalaureate_Colleges"/>
    <hyperlink ref="A59" r:id="rId225" tooltip="Worcester Polytechnic Institute" display="http://en.wikipedia.org/wiki/Worcester_Polytechnic_Institute"/>
    <hyperlink ref="B59" r:id="rId226" tooltip="Worcester, Massachusetts" display="http://en.wikipedia.org/wiki/Worcester,_Massachusetts"/>
    <hyperlink ref="C59" r:id="rId227" tooltip="Non-profit" display="http://en.wikipedia.org/wiki/Non-profit"/>
    <hyperlink ref="F59" r:id="rId228" tooltip="Research university" display="http://en.wikipedia.org/wiki/Research_university"/>
    <hyperlink ref="A60" r:id="rId229" tooltip="Worcester State University" display="http://en.wikipedia.org/wiki/Worcester_State_University"/>
    <hyperlink ref="B60" r:id="rId230" tooltip="Worcester, Massachusetts" display="http://en.wikipedia.org/wiki/Worcester,_Massachusetts"/>
    <hyperlink ref="C60" r:id="rId231" tooltip="Public university" display="http://en.wikipedia.org/wiki/Public_university"/>
    <hyperlink ref="F60" r:id="rId232" location="Master.E2.80.99s_Colleges_and_Universities" tooltip="Carnegie Classification of Institutions of Higher Education" display="http://en.wikipedia.org/wiki/Carnegie_Classification_of_Institutions_of_Higher_Education - Master.E2.80.99s_Colleges_and_Universities"/>
    <hyperlink ref="X11" r:id="rId233"/>
    <hyperlink ref="A61" r:id="rId234" tooltip="Brown University" display="http://en.wikipedia.org/wiki/Brown_University"/>
    <hyperlink ref="B61" r:id="rId235" tooltip="Providence, Rhode Island" display="http://en.wikipedia.org/wiki/Providence,_Rhode_Island"/>
    <hyperlink ref="F61" r:id="rId236" location="Doctorate-granting_Universities" tooltip="Carnegie Classification of Institutions of Higher Education" display="http://en.wikipedia.org/wiki/Carnegie_Classification_of_Institutions_of_Higher_Education - Doctorate-granting_Universities"/>
    <hyperlink ref="A62" r:id="rId237" tooltip="Bryant University" display="http://en.wikipedia.org/wiki/Bryant_University"/>
    <hyperlink ref="B62" r:id="rId238" tooltip="Smithfield, Rhode Island" display="http://en.wikipedia.org/wiki/Smithfield,_Rhode_Island"/>
    <hyperlink ref="F62" r:id="rId239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63" r:id="rId240" tooltip="Johnson &amp; Wales University" display="http://en.wikipedia.org/wiki/Johnson_%26_Wales_University"/>
    <hyperlink ref="B63" r:id="rId241" tooltip="Providence, Rhode Island" display="http://en.wikipedia.org/wiki/Providence,_Rhode_Island"/>
    <hyperlink ref="F63" r:id="rId242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64" r:id="rId243" tooltip="Naval War College" display="http://en.wikipedia.org/wiki/Naval_War_College"/>
    <hyperlink ref="B64" r:id="rId244" tooltip="Newport, Rhode Island" display="http://en.wikipedia.org/wiki/Newport,_Rhode_Island"/>
    <hyperlink ref="C64" r:id="rId245" location="United_States_staff_colleges" tooltip="Staff college" display="http://en.wikipedia.org/wiki/Staff_college - United_States_staff_colleges"/>
    <hyperlink ref="F64" r:id="rId246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65" r:id="rId247" tooltip="Providence College" display="http://en.wikipedia.org/wiki/Providence_College"/>
    <hyperlink ref="B65" r:id="rId248" tooltip="Providence, Rhode Island" display="http://en.wikipedia.org/wiki/Providence,_Rhode_Island"/>
    <hyperlink ref="C65" r:id="rId249" tooltip="Roman Catholic" display="http://en.wikipedia.org/wiki/Roman_Catholic"/>
    <hyperlink ref="F65" r:id="rId250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66" r:id="rId251" tooltip="Rhode Island College" display="http://en.wikipedia.org/wiki/Rhode_Island_College"/>
    <hyperlink ref="B66" r:id="rId252" tooltip="Providence, Rhode Island" display="http://en.wikipedia.org/wiki/Providence,_Rhode_Island"/>
    <hyperlink ref="F66" r:id="rId253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67" r:id="rId254" tooltip="Roger Williams University" display="http://en.wikipedia.org/wiki/Roger_Williams_University"/>
    <hyperlink ref="B67" r:id="rId255" tooltip="Bristol, Rhode Island" display="http://en.wikipedia.org/wiki/Bristol,_Rhode_Island"/>
    <hyperlink ref="F67" r:id="rId256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68" r:id="rId257" tooltip="Salve Regina University" display="http://en.wikipedia.org/wiki/Salve_Regina_University"/>
    <hyperlink ref="B68" r:id="rId258" tooltip="Newport, Rhode Island" display="http://en.wikipedia.org/wiki/Newport,_Rhode_Island"/>
    <hyperlink ref="C68" r:id="rId259" tooltip="Roman Catholic" display="http://en.wikipedia.org/wiki/Roman_Catholic"/>
    <hyperlink ref="F68" r:id="rId260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69" r:id="rId261" tooltip="University of Rhode Island" display="http://en.wikipedia.org/wiki/University_of_Rhode_Island"/>
    <hyperlink ref="F69" r:id="rId262" location="Doctorate-granting_Universities" tooltip="Carnegie Classification of Institutions of Higher Education" display="http://en.wikipedia.org/wiki/Carnegie_Classification_of_Institutions_of_Higher_Education - Doctorate-granting_Universities"/>
    <hyperlink ref="X74" r:id="rId263"/>
    <hyperlink ref="A89" r:id="rId264" tooltip="Colby College" display="http://en.wikipedia.org/wiki/Colby_College"/>
    <hyperlink ref="B89" r:id="rId265" tooltip="Waterville, Maine" display="http://en.wikipedia.org/wiki/Waterville,_Maine"/>
    <hyperlink ref="F89" r:id="rId266" tooltip="Liberal arts colleges in the United States" display="http://en.wikipedia.org/wiki/Liberal_arts_colleges_in_the_United_States"/>
    <hyperlink ref="A90" r:id="rId267" tooltip="Maine Maritime Academy" display="http://en.wikipedia.org/wiki/Maine_Maritime_Academy"/>
    <hyperlink ref="B90" r:id="rId268" tooltip="Castine, Maine" display="http://en.wikipedia.org/wiki/Castine,_Maine"/>
    <hyperlink ref="F90" r:id="rId269" location="Baccalaureate_Colleges" tooltip="Carnegie Classification of Institutions of Higher Education" display="http://en.wikipedia.org/wiki/Carnegie_Classification_of_Institutions_of_Higher_Education - Baccalaureate_Colleges"/>
    <hyperlink ref="A91" r:id="rId270" tooltip="Saint Joseph's College of Maine" display="http://en.wikipedia.org/wiki/Saint_Joseph%27s_College_of_Maine"/>
    <hyperlink ref="B91" r:id="rId271" tooltip="Standish, Maine" display="http://en.wikipedia.org/wiki/Standish,_Maine"/>
    <hyperlink ref="C92" r:id="rId272" tooltip="Roman Catholic Church" display="http://en.wikipedia.org/wiki/Roman_Catholic_Church"/>
    <hyperlink ref="F91" r:id="rId273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93" r:id="rId274" tooltip="Thomas College" display="http://en.wikipedia.org/wiki/Thomas_College"/>
    <hyperlink ref="B93" r:id="rId275" tooltip="Waterville, Maine" display="http://en.wikipedia.org/wiki/Waterville,_Maine"/>
    <hyperlink ref="F93" r:id="rId276" location="Baccalaureate_Colleges" tooltip="Carnegie Classification of Institutions of Higher Education" display="http://en.wikipedia.org/wiki/Carnegie_Classification_of_Institutions_of_Higher_Education - Baccalaureate_Colleges"/>
    <hyperlink ref="A94" r:id="rId277" tooltip="Unity College (Maine)" display="http://en.wikipedia.org/wiki/Unity_College_%28Maine%29"/>
    <hyperlink ref="B94" r:id="rId278" tooltip="Unity, Maine" display="http://en.wikipedia.org/wiki/Unity,_Maine"/>
    <hyperlink ref="F94" r:id="rId279" location="Baccalaureate_Colleges" tooltip="Carnegie Classification of Institutions of Higher Education" display="http://en.wikipedia.org/wiki/Carnegie_Classification_of_Institutions_of_Higher_Education - Baccalaureate_Colleges"/>
    <hyperlink ref="A95" r:id="rId280" tooltip="University of Maine" display="http://en.wikipedia.org/wiki/University_of_Maine"/>
    <hyperlink ref="B95" r:id="rId281" tooltip="Orono, Maine" display="http://en.wikipedia.org/wiki/Orono,_Maine"/>
    <hyperlink ref="F95" r:id="rId282" location="Doctorate-granting_Universities" tooltip="Carnegie Classification of Institutions of Higher Education" display="http://en.wikipedia.org/wiki/Carnegie_Classification_of_Institutions_of_Higher_Education - Doctorate-granting_Universities"/>
    <hyperlink ref="A96" r:id="rId283" tooltip="University of Maine at Augusta" display="http://en.wikipedia.org/wiki/University_of_Maine_at_Augusta"/>
    <hyperlink ref="B96" r:id="rId284" tooltip="Augusta, Maine" display="http://en.wikipedia.org/wiki/Augusta,_Maine"/>
    <hyperlink ref="F96" r:id="rId285" location="Baccalaureate_Colleges" tooltip="Carnegie Classification of Institutions of Higher Education" display="http://en.wikipedia.org/wiki/Carnegie_Classification_of_Institutions_of_Higher_Education - Baccalaureate_Colleges"/>
    <hyperlink ref="A97" r:id="rId286" tooltip="University of Maine at Farmington" display="http://en.wikipedia.org/wiki/University_of_Maine_at_Farmington"/>
    <hyperlink ref="B97" r:id="rId287" tooltip="Farmington, Maine" display="http://en.wikipedia.org/wiki/Farmington,_Maine"/>
    <hyperlink ref="F97" r:id="rId288" location="Baccalaureate_Colleges" tooltip="Carnegie Classification of Institutions of Higher Education" display="http://en.wikipedia.org/wiki/Carnegie_Classification_of_Institutions_of_Higher_Education - Baccalaureate_Colleges"/>
    <hyperlink ref="A98" r:id="rId289" tooltip="University of Maine at Fort Kent" display="http://en.wikipedia.org/wiki/University_of_Maine_at_Fort_Kent"/>
    <hyperlink ref="B98" r:id="rId290" tooltip="Fort Kent, Maine" display="http://en.wikipedia.org/wiki/Fort_Kent,_Maine"/>
    <hyperlink ref="F98" r:id="rId291" location="Baccalaureate_Colleges" tooltip="Carnegie Classification of Institutions of Higher Education" display="http://en.wikipedia.org/wiki/Carnegie_Classification_of_Institutions_of_Higher_Education - Baccalaureate_Colleges"/>
    <hyperlink ref="A99" r:id="rId292" tooltip="University of Maine at Machias" display="http://en.wikipedia.org/wiki/University_of_Maine_at_Machias"/>
    <hyperlink ref="B99" r:id="rId293" tooltip="Machias, Maine" display="http://en.wikipedia.org/wiki/Machias,_Maine"/>
    <hyperlink ref="F99" r:id="rId294" tooltip="Liberal arts colleges in the United States" display="http://en.wikipedia.org/wiki/Liberal_arts_colleges_in_the_United_States"/>
    <hyperlink ref="A100" r:id="rId295" tooltip="University of Maine at Presque Isle" display="http://en.wikipedia.org/wiki/University_of_Maine_at_Presque_Isle"/>
    <hyperlink ref="B100" r:id="rId296" tooltip="Presque Isle, Maine" display="http://en.wikipedia.org/wiki/Presque_Isle,_Maine"/>
    <hyperlink ref="F100" r:id="rId297" tooltip="Liberal arts colleges in the United States" display="http://en.wikipedia.org/wiki/Liberal_arts_colleges_in_the_United_States"/>
    <hyperlink ref="A101" r:id="rId298" tooltip="University of New England (United States)" display="http://en.wikipedia.org/wiki/University_of_New_England_%28United_States%29"/>
    <hyperlink ref="F101" r:id="rId299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102" r:id="rId300" tooltip="University of Southern Maine" display="http://en.wikipedia.org/wiki/University_of_Southern_Maine"/>
    <hyperlink ref="F102" r:id="rId301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B87" r:id="rId302" tooltip="Lewiston, Maine" display="http://en.wikipedia.org/wiki/Lewiston,_Maine"/>
    <hyperlink ref="X87" r:id="rId303"/>
    <hyperlink ref="X89" r:id="rId304"/>
    <hyperlink ref="X99" r:id="rId305"/>
    <hyperlink ref="X100" r:id="rId306"/>
    <hyperlink ref="A103" r:id="rId307" tooltip="Antioch University New England" display="http://en.wikipedia.org/wiki/Antioch_University_New_England"/>
    <hyperlink ref="B103" r:id="rId308" tooltip="Keene, New Hampshire" display="http://en.wikipedia.org/wiki/Keene,_New_Hampshire"/>
    <hyperlink ref="F103" r:id="rId309" location="Doctorate-granting_Universities" tooltip="Carnegie Classification of Institutions of Higher Education" display="http://en.wikipedia.org/wiki/Carnegie_Classification_of_Institutions_of_Higher_Education - Doctorate-granting_Universities"/>
    <hyperlink ref="A104" r:id="rId310" tooltip="Colby-Sawyer College" display="http://en.wikipedia.org/wiki/Colby-Sawyer_College"/>
    <hyperlink ref="B104" r:id="rId311" tooltip="New London, New Hampshire" display="http://en.wikipedia.org/wiki/New_London,_New_Hampshire"/>
    <hyperlink ref="F104" r:id="rId312" location="Baccalaureate_Colleges" tooltip="Carnegie Classification of Institutions of Higher Education" display="http://en.wikipedia.org/wiki/Carnegie_Classification_of_Institutions_of_Higher_Education - Baccalaureate_Colleges"/>
    <hyperlink ref="A105" r:id="rId313" tooltip="Daniel Webster College" display="http://en.wikipedia.org/wiki/Daniel_Webster_College"/>
    <hyperlink ref="B105" r:id="rId314" tooltip="Nashua, New Hampshire" display="http://en.wikipedia.org/wiki/Nashua,_New_Hampshire"/>
    <hyperlink ref="C106" r:id="rId315" tooltip="For-profit school" display="http://en.wikipedia.org/wiki/For-profit_school"/>
    <hyperlink ref="F105" r:id="rId316" location="Baccalaureate_Colleges" tooltip="Carnegie Classification of Institutions of Higher Education" display="http://en.wikipedia.org/wiki/Carnegie_Classification_of_Institutions_of_Higher_Education - Baccalaureate_Colleges"/>
    <hyperlink ref="A107" r:id="rId317" tooltip="Dartmouth College" display="http://en.wikipedia.org/wiki/Dartmouth_College"/>
    <hyperlink ref="B107" r:id="rId318" tooltip="Hanover, New Hampshire" display="http://en.wikipedia.org/wiki/Hanover,_New_Hampshire"/>
    <hyperlink ref="F107" r:id="rId319" location="Doctorate-granting_Universities" tooltip="Carnegie Classification of Institutions of Higher Education" display="http://en.wikipedia.org/wiki/Carnegie_Classification_of_Institutions_of_Higher_Education - Doctorate-granting_Universities"/>
    <hyperlink ref="A108" r:id="rId320" tooltip="Franklin Pierce University" display="http://en.wikipedia.org/wiki/Franklin_Pierce_University"/>
    <hyperlink ref="B108" r:id="rId321" tooltip="Rindge, New Hampshire" display="http://en.wikipedia.org/wiki/Rindge,_New_Hampshire"/>
    <hyperlink ref="F108" r:id="rId322" location="Baccalaureate_Colleges" tooltip="Carnegie Classification of Institutions of Higher Education" display="http://en.wikipedia.org/wiki/Carnegie_Classification_of_Institutions_of_Higher_Education - Baccalaureate_Colleges"/>
    <hyperlink ref="A109" r:id="rId323" tooltip="Granite State College" display="http://en.wikipedia.org/wiki/Granite_State_College"/>
    <hyperlink ref="B109" r:id="rId324" tooltip="Concord, New Hampshire" display="http://en.wikipedia.org/wiki/Concord,_New_Hampshire"/>
    <hyperlink ref="F109" r:id="rId325" location="Baccalaureate_Colleges" tooltip="Carnegie Classification of Institutions of Higher Education" display="http://en.wikipedia.org/wiki/Carnegie_Classification_of_Institutions_of_Higher_Education - Baccalaureate_Colleges"/>
    <hyperlink ref="A110" r:id="rId326" tooltip="Keene State College" display="http://en.wikipedia.org/wiki/Keene_State_College"/>
    <hyperlink ref="B110" r:id="rId327" tooltip="Keene, New Hampshire" display="http://en.wikipedia.org/wiki/Keene,_New_Hampshire"/>
    <hyperlink ref="F110" r:id="rId328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111" r:id="rId329" tooltip="Mount Washington College" display="http://en.wikipedia.org/wiki/Mount_Washington_College"/>
    <hyperlink ref="B111" r:id="rId330" tooltip="Manchester, New Hampshire" display="http://en.wikipedia.org/wiki/Manchester,_New_Hampshire"/>
    <hyperlink ref="C112" r:id="rId331" tooltip="For-profit school" display="http://en.wikipedia.org/wiki/For-profit_school"/>
    <hyperlink ref="F111" r:id="rId332" location="Baccalaureate_Colleges" tooltip="Carnegie Classification of Institutions of Higher Education" display="http://en.wikipedia.org/wiki/Carnegie_Classification_of_Institutions_of_Higher_Education - Baccalaureate_Colleges"/>
    <hyperlink ref="A113" r:id="rId333" tooltip="New England College" display="http://en.wikipedia.org/wiki/New_England_College"/>
    <hyperlink ref="F113" r:id="rId334" location="Baccalaureate_Colleges" tooltip="Carnegie Classification of Institutions of Higher Education" display="http://en.wikipedia.org/wiki/Carnegie_Classification_of_Institutions_of_Higher_Education - Baccalaureate_Colleges"/>
    <hyperlink ref="A114" r:id="rId335" tooltip="Plymouth State University" display="http://en.wikipedia.org/wiki/Plymouth_State_University"/>
    <hyperlink ref="B114" r:id="rId336" tooltip="Plymouth, New Hampshire" display="http://en.wikipedia.org/wiki/Plymouth,_New_Hampshire"/>
    <hyperlink ref="F114" r:id="rId337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115" r:id="rId338" tooltip="Rivier University" display="http://en.wikipedia.org/wiki/Rivier_University"/>
    <hyperlink ref="B115" r:id="rId339" tooltip="Nashua, New Hampshire" display="http://en.wikipedia.org/wiki/Nashua,_New_Hampshire"/>
    <hyperlink ref="C116" r:id="rId340" tooltip="Roman Catholic Church" display="http://en.wikipedia.org/wiki/Roman_Catholic_Church"/>
    <hyperlink ref="F115" r:id="rId341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117" r:id="rId342" tooltip="Saint Anselm College" display="http://en.wikipedia.org/wiki/Saint_Anselm_College"/>
    <hyperlink ref="B117" r:id="rId343" tooltip="Goffstown, New Hampshire" display="http://en.wikipedia.org/wiki/Goffstown,_New_Hampshire"/>
    <hyperlink ref="C118" r:id="rId344" tooltip="Roman Catholic Church" display="http://en.wikipedia.org/wiki/Roman_Catholic_Church"/>
    <hyperlink ref="F117" r:id="rId345" location="Baccalaureate_Colleges" tooltip="Carnegie Classification of Institutions of Higher Education" display="http://en.wikipedia.org/wiki/Carnegie_Classification_of_Institutions_of_Higher_Education - Baccalaureate_Colleges"/>
    <hyperlink ref="A119" r:id="rId346" tooltip="Southern New Hampshire University" display="http://en.wikipedia.org/wiki/Southern_New_Hampshire_University"/>
    <hyperlink ref="B119" r:id="rId347" tooltip="Manchester, New Hampshire" display="http://en.wikipedia.org/wiki/Manchester,_New_Hampshire"/>
    <hyperlink ref="F119" r:id="rId348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120" r:id="rId349" tooltip="The College of Saint Mary Magdalen" display="http://en.wikipedia.org/wiki/The_College_of_Saint_Mary_Magdalen"/>
    <hyperlink ref="B120" r:id="rId350" tooltip="Warner, New Hampshire" display="http://en.wikipedia.org/wiki/Warner,_New_Hampshire"/>
    <hyperlink ref="C121" r:id="rId351" tooltip="Roman Catholic Church" display="http://en.wikipedia.org/wiki/Roman_Catholic_Church"/>
    <hyperlink ref="F120" r:id="rId352" location="Baccalaureate_Colleges" tooltip="Carnegie Classification of Institutions of Higher Education" display="http://en.wikipedia.org/wiki/Carnegie_Classification_of_Institutions_of_Higher_Education - Baccalaureate_Colleges"/>
    <hyperlink ref="A122" r:id="rId353" tooltip="Thomas More College of Liberal Arts" display="http://en.wikipedia.org/wiki/Thomas_More_College_of_Liberal_Arts"/>
    <hyperlink ref="B122" r:id="rId354" tooltip="Merrimack, New Hampshire" display="http://en.wikipedia.org/wiki/Merrimack,_New_Hampshire"/>
    <hyperlink ref="C123" r:id="rId355" tooltip="Roman Catholic Church" display="http://en.wikipedia.org/wiki/Roman_Catholic_Church"/>
    <hyperlink ref="F122" r:id="rId356" location="Baccalaureate_Colleges" tooltip="Carnegie Classification of Institutions of Higher Education" display="http://en.wikipedia.org/wiki/Carnegie_Classification_of_Institutions_of_Higher_Education - Baccalaureate_Colleges"/>
    <hyperlink ref="A124" r:id="rId357" tooltip="University of New Hampshire" display="http://en.wikipedia.org/wiki/University_of_New_Hampshire"/>
    <hyperlink ref="B124" r:id="rId358" tooltip="Durham, New Hampshire" display="http://en.wikipedia.org/wiki/Durham,_New_Hampshire"/>
    <hyperlink ref="F124" r:id="rId359" location="Doctorate-granting_Universities" tooltip="Carnegie Classification of Institutions of Higher Education" display="http://en.wikipedia.org/wiki/Carnegie_Classification_of_Institutions_of_Higher_Education - Doctorate-granting_Universities"/>
    <hyperlink ref="A125" r:id="rId360" tooltip="University of New Hampshire at Manchester" display="http://en.wikipedia.org/wiki/University_of_New_Hampshire_at_Manchester"/>
    <hyperlink ref="B125" r:id="rId361" tooltip="Manchester, New Hampshire" display="http://en.wikipedia.org/wiki/Manchester,_New_Hampshire"/>
    <hyperlink ref="F125" r:id="rId362" location="Baccalaureate_Colleges" tooltip="Carnegie Classification of Institutions of Higher Education" display="http://en.wikipedia.org/wiki/Carnegie_Classification_of_Institutions_of_Higher_Education - Baccalaureate_Colleges"/>
    <hyperlink ref="X113" r:id="rId363"/>
    <hyperlink ref="X85" r:id="rId364"/>
    <hyperlink ref="X88" r:id="rId365"/>
    <hyperlink ref="A128" r:id="rId366" tooltip="Bennington College" display="http://en.wikipedia.org/wiki/Bennington_College"/>
    <hyperlink ref="B128" r:id="rId367" tooltip="Bennington, Vermont" display="http://en.wikipedia.org/wiki/Bennington,_Vermont"/>
    <hyperlink ref="F128" r:id="rId368" location="Baccalaureate_Colleges" tooltip="Carnegie Classification of Institutions of Higher Education" display="http://en.wikipedia.org/wiki/Carnegie_Classification_of_Institutions_of_Higher_Education - Baccalaureate_Colleges"/>
    <hyperlink ref="A129" r:id="rId369" tooltip="Burlington College" display="http://en.wikipedia.org/wiki/Burlington_College"/>
    <hyperlink ref="B129" r:id="rId370" tooltip="Burlington, Vermont" display="http://en.wikipedia.org/wiki/Burlington,_Vermont"/>
    <hyperlink ref="F129" r:id="rId371" location="Baccalaureate_Colleges" tooltip="Carnegie Classification of Institutions of Higher Education" display="http://en.wikipedia.org/wiki/Carnegie_Classification_of_Institutions_of_Higher_Education - Baccalaureate_Colleges"/>
    <hyperlink ref="A130" r:id="rId372" tooltip="Castleton State College" display="http://en.wikipedia.org/wiki/Castleton_State_College"/>
    <hyperlink ref="B130" r:id="rId373" tooltip="Castleton, Vermont" display="http://en.wikipedia.org/wiki/Castleton,_Vermont"/>
    <hyperlink ref="F130" r:id="rId374" location="Baccalaureate_Colleges" tooltip="Carnegie Classification of Institutions of Higher Education" display="http://en.wikipedia.org/wiki/Carnegie_Classification_of_Institutions_of_Higher_Education - Baccalaureate_Colleges"/>
    <hyperlink ref="A131" r:id="rId375" tooltip="Champlain College" display="http://en.wikipedia.org/wiki/Champlain_College"/>
    <hyperlink ref="B131" r:id="rId376" tooltip="Burlington, Vermont" display="http://en.wikipedia.org/wiki/Burlington,_Vermont"/>
    <hyperlink ref="F131" r:id="rId377" location="Baccalaureate_Colleges" tooltip="Carnegie Classification of Institutions of Higher Education" display="http://en.wikipedia.org/wiki/Carnegie_Classification_of_Institutions_of_Higher_Education - Baccalaureate_Colleges"/>
    <hyperlink ref="A132" r:id="rId378" tooltip="College of St. Joseph" display="http://en.wikipedia.org/wiki/College_of_St._Joseph"/>
    <hyperlink ref="B132" r:id="rId379" tooltip="Rutland (city), Vermont" display="http://en.wikipedia.org/wiki/Rutland_%28city%29,_Vermont"/>
    <hyperlink ref="C133" r:id="rId380" tooltip="Roman Catholic Church" display="http://en.wikipedia.org/wiki/Roman_Catholic_Church"/>
    <hyperlink ref="F132" r:id="rId381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134" r:id="rId382" tooltip="Goddard College" display="http://en.wikipedia.org/wiki/Goddard_College"/>
    <hyperlink ref="B134" r:id="rId383" tooltip="Plainfield, Vermont" display="http://en.wikipedia.org/wiki/Plainfield,_Vermont"/>
    <hyperlink ref="F134" r:id="rId384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135" r:id="rId385" tooltip="Green Mountain College" display="http://en.wikipedia.org/wiki/Green_Mountain_College"/>
    <hyperlink ref="B135" r:id="rId386" tooltip="Poultney, Vermont" display="http://en.wikipedia.org/wiki/Poultney,_Vermont"/>
    <hyperlink ref="C136" r:id="rId387" tooltip="United Methodist Church" display="http://en.wikipedia.org/wiki/United_Methodist_Church"/>
    <hyperlink ref="F135" r:id="rId388" location="Baccalaureate_Colleges" tooltip="Carnegie Classification of Institutions of Higher Education" display="http://en.wikipedia.org/wiki/Carnegie_Classification_of_Institutions_of_Higher_Education - Baccalaureate_Colleges"/>
    <hyperlink ref="A137" r:id="rId389" tooltip="Johnson State College" display="http://en.wikipedia.org/wiki/Johnson_State_College"/>
    <hyperlink ref="B137" r:id="rId390" tooltip="Johnson, Vermont" display="http://en.wikipedia.org/wiki/Johnson,_Vermont"/>
    <hyperlink ref="F137" r:id="rId391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138" r:id="rId392" tooltip="Lyndon State College" display="http://en.wikipedia.org/wiki/Lyndon_State_College"/>
    <hyperlink ref="B138" r:id="rId393" tooltip="Lyndonville, Vermont" display="http://en.wikipedia.org/wiki/Lyndonville,_Vermont"/>
    <hyperlink ref="F138" r:id="rId394" location="Baccalaureate_Colleges" tooltip="Carnegie Classification of Institutions of Higher Education" display="http://en.wikipedia.org/wiki/Carnegie_Classification_of_Institutions_of_Higher_Education - Baccalaureate_Colleges"/>
    <hyperlink ref="A139" r:id="rId395" tooltip="Marlboro College" display="http://en.wikipedia.org/wiki/Marlboro_College"/>
    <hyperlink ref="B139" r:id="rId396" tooltip="Marlboro, Vermont" display="http://en.wikipedia.org/wiki/Marlboro,_Vermont"/>
    <hyperlink ref="F139" r:id="rId397" location="Baccalaureate_Colleges" tooltip="Carnegie Classification of Institutions of Higher Education" display="http://en.wikipedia.org/wiki/Carnegie_Classification_of_Institutions_of_Higher_Education - Baccalaureate_Colleges"/>
    <hyperlink ref="J139" r:id="rId398" location="cite_note-9" display="http://en.wikipedia.org/wiki/List_of_colleges_and_universities_in_Vermont - cite_note-9"/>
    <hyperlink ref="A140" r:id="rId399" tooltip="Middlebury College" display="http://en.wikipedia.org/wiki/Middlebury_College"/>
    <hyperlink ref="B140" r:id="rId400" tooltip="Middlebury, Vermont" display="http://en.wikipedia.org/wiki/Middlebury,_Vermont"/>
    <hyperlink ref="F140" r:id="rId401" location="Baccalaureate_Colleges" tooltip="Carnegie Classification of Institutions of Higher Education" display="http://en.wikipedia.org/wiki/Carnegie_Classification_of_Institutions_of_Higher_Education - Baccalaureate_Colleges"/>
    <hyperlink ref="A141" r:id="rId402" tooltip="Norwich University" display="http://en.wikipedia.org/wiki/Norwich_University"/>
    <hyperlink ref="B141" r:id="rId403" tooltip="Northfield, Vermont" display="http://en.wikipedia.org/wiki/Northfield,_Vermont"/>
    <hyperlink ref="F141" r:id="rId404" location="Master.27s_Colleges_and_Universities" tooltip="Carnegie Classification of Institutions of Higher Education" display="http://en.wikipedia.org/wiki/Carnegie_Classification_of_Institutions_of_Higher_Education - Master.27s_Colleges_and_Universities"/>
    <hyperlink ref="A142" r:id="rId405" tooltip="Saint Michael's College" display="http://en.wikipedia.org/wiki/Saint_Michael%27s_College"/>
    <hyperlink ref="B142" r:id="rId406" tooltip="Colchester, Vermont" display="http://en.wikipedia.org/wiki/Colchester,_Vermont"/>
    <hyperlink ref="C143" r:id="rId407" tooltip="Roman Catholic Church" display="http://en.wikipedia.org/wiki/Roman_Catholic_Church"/>
    <hyperlink ref="F142" r:id="rId408" location="Baccalaureate_Colleges" tooltip="Carnegie Classification of Institutions of Higher Education" display="http://en.wikipedia.org/wiki/Carnegie_Classification_of_Institutions_of_Higher_Education - Baccalaureate_Colleges"/>
    <hyperlink ref="A144" r:id="rId409" tooltip="Southern Vermont College" display="http://en.wikipedia.org/wiki/Southern_Vermont_College"/>
    <hyperlink ref="B144" r:id="rId410" tooltip="Bennington, Vermont" display="http://en.wikipedia.org/wiki/Bennington,_Vermont"/>
    <hyperlink ref="F144" r:id="rId411" location="Baccalaureate_Colleges" tooltip="Carnegie Classification of Institutions of Higher Education" display="http://en.wikipedia.org/wiki/Carnegie_Classification_of_Institutions_of_Higher_Education - Baccalaureate_Colleges"/>
    <hyperlink ref="A145" r:id="rId412" tooltip="Sterling College (Vermont)" display="http://en.wikipedia.org/wiki/Sterling_College_%28Vermont%29"/>
    <hyperlink ref="B145" r:id="rId413" tooltip="Craftsbury, Vermont" display="http://en.wikipedia.org/wiki/Craftsbury,_Vermont"/>
    <hyperlink ref="F145" r:id="rId414" location="Baccalaureate_Colleges" tooltip="Carnegie Classification of Institutions of Higher Education" display="http://en.wikipedia.org/wiki/Carnegie_Classification_of_Institutions_of_Higher_Education - Baccalaureate_Colleges"/>
    <hyperlink ref="A146" r:id="rId415" tooltip="University of Vermont" display="http://en.wikipedia.org/wiki/University_of_Vermont"/>
    <hyperlink ref="B146" r:id="rId416" tooltip="Burlington, Vermont" display="http://en.wikipedia.org/wiki/Burlington,_Vermont"/>
    <hyperlink ref="F146" r:id="rId417" location="Doctorate-granting_Universities" tooltip="Carnegie Classification of Institutions of Higher Education" display="http://en.wikipedia.org/wiki/Carnegie_Classification_of_Institutions_of_Higher_Education - Doctorate-granting_Universities"/>
    <hyperlink ref="X132" r:id="rId418" location=".VMVV_C69g74  varies widely from past"/>
    <hyperlink ref="R137" r:id="rId419"/>
    <hyperlink ref="A148" r:id="rId420" tooltip="Baruch College" display="http://en.wikipedia.org/wiki/Baruch_College"/>
    <hyperlink ref="A149" r:id="rId421" tooltip="Brooklyn College" display="http://en.wikipedia.org/wiki/Brooklyn_College"/>
    <hyperlink ref="A150" r:id="rId422" tooltip="City College of New York" display="http://en.wikipedia.org/wiki/City_College_of_New_York"/>
    <hyperlink ref="A151" r:id="rId423" tooltip="College of Staten Island" display="http://en.wikipedia.org/wiki/College_of_Staten_Island"/>
    <hyperlink ref="A152" r:id="rId424" tooltip="Hunter College" display="http://en.wikipedia.org/wiki/Hunter_College"/>
    <hyperlink ref="A153" r:id="rId425" tooltip="John Jay College of Criminal Justice" display="http://en.wikipedia.org/wiki/John_Jay_College_of_Criminal_Justice"/>
    <hyperlink ref="A154" r:id="rId426" tooltip="Lehman College" display="http://en.wikipedia.org/wiki/Lehman_College"/>
    <hyperlink ref="A155" r:id="rId427" tooltip="Medgar Evers College" display="http://en.wikipedia.org/wiki/Medgar_Evers_College"/>
    <hyperlink ref="A156" r:id="rId428" tooltip="New York City College of Technology" display="http://en.wikipedia.org/wiki/New_York_City_College_of_Technology"/>
    <hyperlink ref="A157" r:id="rId429" tooltip="Sophie Davis School of Biomedical Education" display="http://en.wikipedia.org/wiki/Sophie_Davis_School_of_Biomedical_Education"/>
    <hyperlink ref="A158" r:id="rId430" tooltip="Queens College, New York" display="http://en.wikipedia.org/wiki/Queens_College,_New_York"/>
    <hyperlink ref="A159" r:id="rId431" tooltip="York College, City University of New York" display="http://en.wikipedia.org/wiki/York_College,_City_University_of_New_York"/>
    <hyperlink ref="A160" r:id="rId432" tooltip="State University of New York at Stony Brook" display="http://en.wikipedia.org/wiki/State_University_of_New_York_at_Stony_Brook"/>
    <hyperlink ref="A162" r:id="rId433" tooltip="United States Merchant Marine Academy" display="http://en.wikipedia.org/wiki/United_States_Merchant_Marine_Academy"/>
    <hyperlink ref="A163" r:id="rId434" tooltip="United States Military Academy" display="http://en.wikipedia.org/wiki/United_States_Military_Academy"/>
    <hyperlink ref="A165" r:id="rId435" tooltip="Adelphi University" display="http://en.wikipedia.org/wiki/Adelphi_University"/>
    <hyperlink ref="A166" r:id="rId436" tooltip="Albany College of Pharmacy and Health Sciences" display="http://en.wikipedia.org/wiki/Albany_College_of_Pharmacy_and_Health_Sciences"/>
    <hyperlink ref="A167" r:id="rId437" tooltip="Alfred University" display="http://en.wikipedia.org/wiki/Alfred_University"/>
    <hyperlink ref="A168" r:id="rId438" tooltip="Bard College" display="http://en.wikipedia.org/wiki/Bard_College"/>
    <hyperlink ref="A169" r:id="rId439" tooltip="Barnard College" display="http://en.wikipedia.org/wiki/Barnard_College"/>
    <hyperlink ref="A170" r:id="rId440" tooltip="Berkeley College" display="http://en.wikipedia.org/wiki/Berkeley_College"/>
    <hyperlink ref="A171" r:id="rId441" tooltip="Canisius College" display="http://en.wikipedia.org/wiki/Canisius_College"/>
    <hyperlink ref="A172" r:id="rId442" tooltip="Cazenovia College" display="http://en.wikipedia.org/wiki/Cazenovia_College"/>
    <hyperlink ref="A173" r:id="rId443" tooltip="Clarkson University" display="http://en.wikipedia.org/wiki/Clarkson_University"/>
    <hyperlink ref="A174" r:id="rId444" tooltip="Colgate University" display="http://en.wikipedia.org/wiki/Colgate_University"/>
    <hyperlink ref="A175" r:id="rId445" tooltip="College of Mount St. Vincent" display="http://en.wikipedia.org/wiki/College_of_Mount_St._Vincent"/>
    <hyperlink ref="A176" r:id="rId446" tooltip="College of New Rochelle" display="http://en.wikipedia.org/wiki/College_of_New_Rochelle"/>
    <hyperlink ref="A177" r:id="rId447" tooltip="College of St. Rose" display="http://en.wikipedia.org/wiki/College_of_St._Rose"/>
    <hyperlink ref="A178" r:id="rId448" tooltip="Columbia University" display="http://en.wikipedia.org/wiki/Columbia_University"/>
    <hyperlink ref="A179" r:id="rId449" tooltip="Concordia College (New York)" display="http://en.wikipedia.org/wiki/Concordia_College_%28New_York%29"/>
    <hyperlink ref="A180" r:id="rId450" tooltip="Cooper Union" display="http://en.wikipedia.org/wiki/Cooper_Union"/>
    <hyperlink ref="A181" r:id="rId451" tooltip="Cornell University" display="http://en.wikipedia.org/wiki/Cornell_University"/>
    <hyperlink ref="A182" r:id="rId452" tooltip="D'Youville College" display="http://en.wikipedia.org/wiki/D%27Youville_College"/>
    <hyperlink ref="A183" r:id="rId453" tooltip="Daemen College" display="http://en.wikipedia.org/wiki/Daemen_College"/>
    <hyperlink ref="A184" r:id="rId454" tooltip="Davis College (Binghamton, New York)" display="http://en.wikipedia.org/wiki/Davis_College_%28Binghamton,_New_York%29"/>
    <hyperlink ref="A185" r:id="rId455" tooltip="Dominican College (New York)" display="http://en.wikipedia.org/wiki/Dominican_College_%28New_York%29"/>
    <hyperlink ref="A186" r:id="rId456" tooltip="Dowling College" display="http://en.wikipedia.org/wiki/Dowling_College"/>
    <hyperlink ref="A187" r:id="rId457" tooltip="Elmira College" display="http://en.wikipedia.org/wiki/Elmira_College"/>
    <hyperlink ref="A188" r:id="rId458" tooltip="Five Towns College" display="http://en.wikipedia.org/wiki/Five_Towns_College"/>
    <hyperlink ref="A189" r:id="rId459" tooltip="Fordham University" display="http://en.wikipedia.org/wiki/Fordham_University"/>
    <hyperlink ref="A190" r:id="rId460" tooltip="Hamilton College (New York)" display="http://en.wikipedia.org/wiki/Hamilton_College_%28New_York%29"/>
    <hyperlink ref="A191" r:id="rId461" tooltip="Hartwick College" display="http://en.wikipedia.org/wiki/Hartwick_College"/>
    <hyperlink ref="A192" r:id="rId462" tooltip="Hilbert College" display="http://en.wikipedia.org/wiki/Hilbert_College"/>
    <hyperlink ref="A193" r:id="rId463" tooltip="Hobart and William Smith Colleges" display="http://en.wikipedia.org/wiki/Hobart_and_William_Smith_Colleges"/>
    <hyperlink ref="A194" r:id="rId464" tooltip="Hofstra University" display="http://en.wikipedia.org/wiki/Hofstra_University"/>
    <hyperlink ref="A195" r:id="rId465" tooltip="Houghton College" display="http://en.wikipedia.org/wiki/Houghton_College"/>
    <hyperlink ref="A196" r:id="rId466" tooltip="Iona College (New York)" display="http://en.wikipedia.org/wiki/Iona_College_%28New_York%29"/>
    <hyperlink ref="A197" r:id="rId467" tooltip="Ithaca College" display="http://en.wikipedia.org/wiki/Ithaca_College"/>
    <hyperlink ref="A198" r:id="rId468" tooltip="Juilliard School" display="http://en.wikipedia.org/wiki/Juilliard_School"/>
    <hyperlink ref="A199" r:id="rId469" tooltip="Keuka College" display="http://en.wikipedia.org/wiki/Keuka_College"/>
    <hyperlink ref="A200" r:id="rId470" tooltip="The King's College (New York)" display="http://en.wikipedia.org/wiki/The_King%27s_College_%28New_York%29"/>
    <hyperlink ref="A201" r:id="rId471" tooltip="Le Moyne College" display="http://en.wikipedia.org/wiki/Le_Moyne_College"/>
    <hyperlink ref="A202" r:id="rId472" tooltip="Laboratory Institute of Merchandising" display="http://en.wikipedia.org/wiki/Laboratory_Institute_of_Merchandising"/>
    <hyperlink ref="A203" r:id="rId473" tooltip="Long Island University" display="http://en.wikipedia.org/wiki/Long_Island_University"/>
    <hyperlink ref="A204" r:id="rId474" tooltip="Manhattan College" display="http://en.wikipedia.org/wiki/Manhattan_College"/>
    <hyperlink ref="A205" r:id="rId475" tooltip="Manhattan School of Music" display="http://en.wikipedia.org/wiki/Manhattan_School_of_Music"/>
    <hyperlink ref="A206" r:id="rId476" tooltip="Manhattanville College" display="http://en.wikipedia.org/wiki/Manhattanville_College"/>
    <hyperlink ref="A207" r:id="rId477" tooltip="Marist College" display="http://en.wikipedia.org/wiki/Marist_College"/>
    <hyperlink ref="A208" r:id="rId478" tooltip="Marymount Manhattan College" display="http://en.wikipedia.org/wiki/Marymount_Manhattan_College"/>
    <hyperlink ref="A209" r:id="rId479" tooltip="Medaille College" display="http://en.wikipedia.org/wiki/Medaille_College"/>
    <hyperlink ref="A210" r:id="rId480" tooltip="Mercy College (New York)" display="http://en.wikipedia.org/wiki/Mercy_College_%28New_York%29"/>
    <hyperlink ref="A211" r:id="rId481" tooltip="Metropolitan College of New York" display="http://en.wikipedia.org/wiki/Metropolitan_College_of_New_York"/>
    <hyperlink ref="A212" r:id="rId482" tooltip="Molloy College" display="http://en.wikipedia.org/wiki/Molloy_College"/>
    <hyperlink ref="A213" r:id="rId483" tooltip="Mount Saint Mary College" display="http://en.wikipedia.org/wiki/Mount_Saint_Mary_College"/>
    <hyperlink ref="A214" r:id="rId484" tooltip="Nazareth College (New York)" display="http://en.wikipedia.org/wiki/Nazareth_College_%28New_York%29"/>
    <hyperlink ref="A215" r:id="rId485" tooltip="New School" display="http://en.wikipedia.org/wiki/New_School"/>
    <hyperlink ref="A216" r:id="rId486" tooltip="New York Institute of Technology" display="http://en.wikipedia.org/wiki/New_York_Institute_of_Technology"/>
    <hyperlink ref="A217" r:id="rId487" tooltip="New York University" display="http://en.wikipedia.org/wiki/New_York_University"/>
    <hyperlink ref="A219" r:id="rId488" tooltip="Niagara University" display="http://en.wikipedia.org/wiki/Niagara_University"/>
    <hyperlink ref="A224" r:id="rId489" tooltip="Rensselaer Polytechnic Institute" display="http://en.wikipedia.org/wiki/Rensselaer_Polytechnic_Institute"/>
    <hyperlink ref="A225" r:id="rId490" tooltip="Roberts Wesleyan College" display="http://en.wikipedia.org/wiki/Roberts_Wesleyan_College"/>
    <hyperlink ref="A226" r:id="rId491" tooltip="Rochester Institute of Technology" display="http://en.wikipedia.org/wiki/Rochester_Institute_of_Technology"/>
    <hyperlink ref="A227" r:id="rId492" tooltip="Russell Sage College" display="http://en.wikipedia.org/wiki/Russell_Sage_College"/>
    <hyperlink ref="A228" r:id="rId493" tooltip="Sarah Lawrence College" display="http://en.wikipedia.org/wiki/Sarah_Lawrence_College"/>
    <hyperlink ref="A229" r:id="rId494" tooltip="Siena College" display="http://en.wikipedia.org/wiki/Siena_College"/>
    <hyperlink ref="A230" r:id="rId495" tooltip="Skidmore College" display="http://en.wikipedia.org/wiki/Skidmore_College"/>
    <hyperlink ref="A231" r:id="rId496" tooltip="St. Bonaventure University" display="http://en.wikipedia.org/wiki/St._Bonaventure_University"/>
    <hyperlink ref="A232" r:id="rId497" tooltip="St. Francis College" display="http://en.wikipedia.org/wiki/St._Francis_College"/>
    <hyperlink ref="A233" r:id="rId498" tooltip="St. John Fisher College" display="http://en.wikipedia.org/wiki/St._John_Fisher_College"/>
    <hyperlink ref="A234" r:id="rId499" tooltip="St. John's University (New York)" display="http://en.wikipedia.org/wiki/St._John%27s_University_%28New_York%29"/>
    <hyperlink ref="A235" r:id="rId500" tooltip="Saint Joseph's College (New York)" display="http://en.wikipedia.org/wiki/Saint_Joseph%27s_College_%28New_York%29"/>
    <hyperlink ref="A236" r:id="rId501" tooltip="St. Lawrence University" display="http://en.wikipedia.org/wiki/St._Lawrence_University"/>
    <hyperlink ref="A237" r:id="rId502" tooltip="St. Thomas Aquinas College" display="http://en.wikipedia.org/wiki/St._Thomas_Aquinas_College"/>
    <hyperlink ref="A238" r:id="rId503" tooltip="Syracuse University" display="http://en.wikipedia.org/wiki/Syracuse_University"/>
    <hyperlink ref="A239" r:id="rId504" tooltip="The Sage Colleges" display="http://en.wikipedia.org/wiki/The_Sage_Colleges"/>
    <hyperlink ref="A240" r:id="rId505" tooltip="University of Rochester" display="http://en.wikipedia.org/wiki/University_of_Rochester"/>
    <hyperlink ref="A241" r:id="rId506" tooltip="Union College" display="http://en.wikipedia.org/wiki/Union_College"/>
    <hyperlink ref="A242" r:id="rId507" tooltip="Utica College" display="http://en.wikipedia.org/wiki/Utica_College"/>
    <hyperlink ref="A243" r:id="rId508" tooltip="Vassar College" display="http://en.wikipedia.org/wiki/Vassar_College"/>
    <hyperlink ref="A244" r:id="rId509" tooltip="Vaughn College of Aeronautics and Technology" display="http://en.wikipedia.org/wiki/Vaughn_College_of_Aeronautics_and_Technology"/>
    <hyperlink ref="A245" r:id="rId510" tooltip="Villa Maria College" display="http://en.wikipedia.org/wiki/Villa_Maria_College"/>
    <hyperlink ref="A246" r:id="rId511" tooltip="Wagner College" display="http://en.wikipedia.org/wiki/Wagner_College"/>
    <hyperlink ref="A247" r:id="rId512" tooltip="Wells College" display="http://en.wikipedia.org/wiki/Wells_College"/>
    <hyperlink ref="A248" r:id="rId513" tooltip="Yeshiva University" display="http://en.wikipedia.org/wiki/Yeshiva_University"/>
    <hyperlink ref="A251" r:id="rId514" tooltip="Binghamton University" display="http://en.wikipedia.org/wiki/Binghamton_University"/>
    <hyperlink ref="A252" r:id="rId515" tooltip="State University of New York at Stony Brook" display="http://en.wikipedia.org/wiki/State_University_of_New_York_at_Stony_Brook"/>
    <hyperlink ref="A253" r:id="rId516" tooltip="University at Albany, State University of New York" display="http://en.wikipedia.org/wiki/University_at_Albany,_State_University_of_New_York"/>
    <hyperlink ref="A254" r:id="rId517" tooltip="University at Buffalo, The State University of New York" display="http://en.wikipedia.org/wiki/University_at_Buffalo,_The_State_University_of_New_York"/>
    <hyperlink ref="A255" r:id="rId518" tooltip="Statutory college" display="http://en.wikipedia.org/wiki/Statutory_college"/>
    <hyperlink ref="A256" r:id="rId519" tooltip="Alfred University" display="http://en.wikipedia.org/wiki/Alfred_University"/>
    <hyperlink ref="A257" r:id="rId520" tooltip="New York State College of Ceramics" display="http://en.wikipedia.org/wiki/New_York_State_College_of_Ceramics"/>
    <hyperlink ref="A258" r:id="rId521" tooltip="Cornell University" display="http://en.wikipedia.org/wiki/Cornell_University"/>
    <hyperlink ref="A259" r:id="rId522" tooltip="Cornell University College of Agriculture and Life Sciences" display="http://en.wikipedia.org/wiki/Cornell_University_College_of_Agriculture_and_Life_Sciences"/>
    <hyperlink ref="A260" r:id="rId523" tooltip="Cornell University College of Human Ecology" display="http://en.wikipedia.org/wiki/Cornell_University_College_of_Human_Ecology"/>
    <hyperlink ref="A261" r:id="rId524" tooltip="Cornell University College of Veterinary Medicine" display="http://en.wikipedia.org/wiki/Cornell_University_College_of_Veterinary_Medicine"/>
    <hyperlink ref="A262" r:id="rId525" tooltip="Cornell University School of Industrial and Labor Relations" display="http://en.wikipedia.org/wiki/Cornell_University_School_of_Industrial_and_Labor_Relations"/>
    <hyperlink ref="A264" r:id="rId526" tooltip="Alfred State College" display="http://en.wikipedia.org/wiki/Alfred_State_College"/>
    <hyperlink ref="A265" r:id="rId527" tooltip="State University of New York at Canton" display="http://en.wikipedia.org/wiki/State_University_of_New_York_at_Canton"/>
    <hyperlink ref="A266" r:id="rId528" tooltip="State University of New York at Cobleskill" display="http://en.wikipedia.org/wiki/State_University_of_New_York_at_Cobleskill"/>
    <hyperlink ref="A267" r:id="rId529" tooltip="State University of New York at Delhi" display="http://en.wikipedia.org/wiki/State_University_of_New_York_at_Delhi"/>
    <hyperlink ref="A268" r:id="rId530" tooltip="State University of New York at Farmingdale" display="http://en.wikipedia.org/wiki/State_University_of_New_York_at_Farmingdale"/>
    <hyperlink ref="A269" r:id="rId531" tooltip="State University of New York at Morrisville" display="http://en.wikipedia.org/wiki/State_University_of_New_York_at_Morrisville"/>
    <hyperlink ref="A270" r:id="rId532" tooltip="State University of New York Institute of Technology" display="http://en.wikipedia.org/wiki/State_University_of_New_York_Institute_of_Technology"/>
    <hyperlink ref="A271" r:id="rId533" tooltip="State University of New York Maritime College" display="http://en.wikipedia.org/wiki/State_University_of_New_York_Maritime_College"/>
    <hyperlink ref="A273" r:id="rId534" tooltip="Buffalo State College" display="http://en.wikipedia.org/wiki/Buffalo_State_College"/>
    <hyperlink ref="A274" r:id="rId535" tooltip="Empire State College" display="http://en.wikipedia.org/wiki/Empire_State_College"/>
    <hyperlink ref="A275" r:id="rId536" tooltip="State University of New York at Brockport" display="http://en.wikipedia.org/wiki/State_University_of_New_York_at_Brockport"/>
    <hyperlink ref="A276" r:id="rId537" tooltip="State University of New York at Cortland" display="http://en.wikipedia.org/wiki/State_University_of_New_York_at_Cortland"/>
    <hyperlink ref="A277" r:id="rId538" tooltip="State University of New York at Fredonia" display="http://en.wikipedia.org/wiki/State_University_of_New_York_at_Fredonia"/>
    <hyperlink ref="A278" r:id="rId539" tooltip="State University of New York at Geneseo" display="http://en.wikipedia.org/wiki/State_University_of_New_York_at_Geneseo"/>
    <hyperlink ref="A279" r:id="rId540" tooltip="State University of New York at New Paltz" display="http://en.wikipedia.org/wiki/State_University_of_New_York_at_New_Paltz"/>
    <hyperlink ref="A280" r:id="rId541" tooltip="State University of New York at Old Westbury" display="http://en.wikipedia.org/wiki/State_University_of_New_York_at_Old_Westbury"/>
    <hyperlink ref="A281" r:id="rId542" tooltip="State University of New York at Oneonta" display="http://en.wikipedia.org/wiki/State_University_of_New_York_at_Oneonta"/>
    <hyperlink ref="A282" r:id="rId543" tooltip="State University of New York at Oswego" display="http://en.wikipedia.org/wiki/State_University_of_New_York_at_Oswego"/>
    <hyperlink ref="A283" r:id="rId544" tooltip="State University of New York at Plattsburgh" display="http://en.wikipedia.org/wiki/State_University_of_New_York_at_Plattsburgh"/>
    <hyperlink ref="A284" r:id="rId545" tooltip="State University of New York at Potsdam" display="http://en.wikipedia.org/wiki/State_University_of_New_York_at_Potsdam"/>
    <hyperlink ref="A285" r:id="rId546" tooltip="State University of New York at Purchase" display="http://en.wikipedia.org/wiki/State_University_of_New_York_at_Purchase"/>
    <hyperlink ref="A286" r:id="rId547" tooltip="Kean University" display="https://en.wikipedia.org/wiki/Kean_University"/>
    <hyperlink ref="A287" r:id="rId548" tooltip="Montclair State University" display="https://en.wikipedia.org/wiki/Montclair_State_University"/>
    <hyperlink ref="B287" r:id="rId549" tooltip="Montclair, New Jersey" display="https://en.wikipedia.org/wiki/Montclair,_New_Jersey"/>
    <hyperlink ref="A288" r:id="rId550" tooltip="New Jersey City University" display="https://en.wikipedia.org/wiki/New_Jersey_City_University"/>
    <hyperlink ref="B288" r:id="rId551" tooltip="Jersey City" display="https://en.wikipedia.org/wiki/Jersey_City"/>
    <hyperlink ref="A289" r:id="rId552" tooltip="New Jersey Institute of Technology" display="https://en.wikipedia.org/wiki/New_Jersey_Institute_of_Technology"/>
    <hyperlink ref="B289" r:id="rId553" tooltip="Newark, New Jersey" display="https://en.wikipedia.org/wiki/Newark,_New_Jersey"/>
    <hyperlink ref="A290" r:id="rId554" tooltip="Ramapo College" display="https://en.wikipedia.org/wiki/Ramapo_College"/>
    <hyperlink ref="B290" r:id="rId555" tooltip="Mahwah, New Jersey" display="https://en.wikipedia.org/wiki/Mahwah,_New_Jersey"/>
    <hyperlink ref="A291" r:id="rId556" tooltip="Stockton University" display="https://en.wikipedia.org/wiki/Stockton_University"/>
    <hyperlink ref="B291" r:id="rId557" tooltip="Galloway Township, New Jersey" display="https://en.wikipedia.org/wiki/Galloway_Township,_New_Jersey"/>
    <hyperlink ref="A292" r:id="rId558" tooltip="Rowan University" display="https://en.wikipedia.org/wiki/Rowan_University"/>
    <hyperlink ref="F293" r:id="rId559" tooltip="Public university" display="https://en.wikipedia.org/wiki/Public_university"/>
    <hyperlink ref="A294" r:id="rId560" tooltip="The College of New Jersey" display="https://en.wikipedia.org/wiki/The_College_of_New_Jersey"/>
    <hyperlink ref="B294" r:id="rId561" tooltip="Ewing Township, New Jersey" display="https://en.wikipedia.org/wiki/Ewing_Township,_New_Jersey"/>
    <hyperlink ref="A295" r:id="rId562" tooltip="Thomas Edison State College" display="https://en.wikipedia.org/wiki/Thomas_Edison_State_College"/>
    <hyperlink ref="B295" r:id="rId563" tooltip="Trenton, New Jersey" display="https://en.wikipedia.org/wiki/Trenton,_New_Jersey"/>
    <hyperlink ref="A296" r:id="rId564" tooltip="William Paterson University" display="https://en.wikipedia.org/wiki/William_Paterson_University"/>
    <hyperlink ref="B296" r:id="rId565" tooltip="Wayne, New Jersey" display="https://en.wikipedia.org/wiki/Wayne,_New_Jersey"/>
    <hyperlink ref="A297" r:id="rId566" tooltip="Bloomfield College" display="https://en.wikipedia.org/wiki/Bloomfield_College"/>
    <hyperlink ref="B297" r:id="rId567" tooltip="Bloomfield, New Jersey" display="https://en.wikipedia.org/wiki/Bloomfield,_New_Jersey"/>
    <hyperlink ref="G297" r:id="rId568" location="cite_note-12" display="https://en.wikipedia.org/wiki/List_of_colleges_and_universities_in_New_Jersey - cite_note-12"/>
    <hyperlink ref="A298" r:id="rId569" tooltip="Caldwell University" display="https://en.wikipedia.org/wiki/Caldwell_University"/>
    <hyperlink ref="B298" r:id="rId570" tooltip="Caldwell, New Jersey" display="https://en.wikipedia.org/wiki/Caldwell,_New_Jersey"/>
    <hyperlink ref="G298" r:id="rId571" location="cite_note-13" display="https://en.wikipedia.org/wiki/List_of_colleges_and_universities_in_New_Jersey - cite_note-13"/>
    <hyperlink ref="A299" r:id="rId572" tooltip="Centenary College of New Jersey" display="https://en.wikipedia.org/wiki/Centenary_College_of_New_Jersey"/>
    <hyperlink ref="B299" r:id="rId573" tooltip="Hackettstown, New Jersey" display="https://en.wikipedia.org/wiki/Hackettstown,_New_Jersey"/>
    <hyperlink ref="G299" r:id="rId574" location="cite_note-14" display="https://en.wikipedia.org/wiki/List_of_colleges_and_universities_in_New_Jersey - cite_note-14"/>
    <hyperlink ref="A300" r:id="rId575" tooltip="College of Saint Elizabeth" display="https://en.wikipedia.org/wiki/College_of_Saint_Elizabeth"/>
    <hyperlink ref="A301" r:id="rId576" tooltip="Drew University" display="https://en.wikipedia.org/wiki/Drew_University"/>
    <hyperlink ref="B301" r:id="rId577" tooltip="Madison, New Jersey" display="https://en.wikipedia.org/wiki/Madison,_New_Jersey"/>
    <hyperlink ref="A302" r:id="rId578" tooltip="Fairleigh Dickinson University" display="https://en.wikipedia.org/wiki/Fairleigh_Dickinson_University"/>
    <hyperlink ref="A303" r:id="rId579" tooltip="Felician College" display="https://en.wikipedia.org/wiki/Felician_College"/>
    <hyperlink ref="A304" r:id="rId580" tooltip="Georgian Court University" display="https://en.wikipedia.org/wiki/Georgian_Court_University"/>
    <hyperlink ref="B304" r:id="rId581" tooltip="Lakewood Township, New Jersey" display="https://en.wikipedia.org/wiki/Lakewood_Township,_New_Jersey"/>
    <hyperlink ref="A305" r:id="rId582" tooltip="Monmouth University" display="https://en.wikipedia.org/wiki/Monmouth_University"/>
    <hyperlink ref="B305" r:id="rId583" tooltip="West Long Branch, New Jersey" display="https://en.wikipedia.org/wiki/West_Long_Branch,_New_Jersey"/>
    <hyperlink ref="A306" r:id="rId584" tooltip="Princeton University" display="https://en.wikipedia.org/wiki/Princeton_University"/>
    <hyperlink ref="B306" r:id="rId585" tooltip="Princeton, New Jersey" display="https://en.wikipedia.org/wiki/Princeton,_New_Jersey"/>
    <hyperlink ref="A307" r:id="rId586" tooltip="Rider University" display="https://en.wikipedia.org/wiki/Rider_University"/>
    <hyperlink ref="A308" r:id="rId587" tooltip="Saint Peter's University" display="https://en.wikipedia.org/wiki/Saint_Peter%27s_University"/>
    <hyperlink ref="B308" r:id="rId588" tooltip="Jersey City, New Jersey" display="https://en.wikipedia.org/wiki/Jersey_City,_New_Jersey"/>
    <hyperlink ref="A309" r:id="rId589" tooltip="Seton Hall University" display="https://en.wikipedia.org/wiki/Seton_Hall_University"/>
    <hyperlink ref="B309" r:id="rId590" tooltip="South Orange, New Jersey" display="https://en.wikipedia.org/wiki/South_Orange,_New_Jersey"/>
    <hyperlink ref="A310" r:id="rId591" tooltip="Stevens Institute of Technology" display="https://en.wikipedia.org/wiki/Stevens_Institute_of_Technology"/>
    <hyperlink ref="B310" r:id="rId592" tooltip="Hoboken, New Jersey" display="https://en.wikipedia.org/wiki/Hoboken,_New_Jersey"/>
    <hyperlink ref="T287" r:id="rId593" display="http://www.montclair.edu/about-montclair/at-a-glance/undergraduate-student-facts/"/>
    <hyperlink ref="H297" r:id="rId594" location="cite_note-12" display="https://en.wikipedia.org/wiki/List_of_colleges_and_universities_in_New_Jersey - cite_note-12"/>
    <hyperlink ref="H298" r:id="rId595" location="cite_note-13" display="https://en.wikipedia.org/wiki/List_of_colleges_and_universities_in_New_Jersey - cite_note-13"/>
    <hyperlink ref="H299" r:id="rId596" location="cite_note-14" display="https://en.wikipedia.org/wiki/List_of_colleges_and_universities_in_New_Jersey - cite_note-14"/>
    <hyperlink ref="I297" r:id="rId597" location="cite_note-12" display="https://en.wikipedia.org/wiki/List_of_colleges_and_universities_in_New_Jersey - cite_note-12"/>
    <hyperlink ref="I298" r:id="rId598" location="cite_note-13" display="https://en.wikipedia.org/wiki/List_of_colleges_and_universities_in_New_Jersey - cite_note-13"/>
    <hyperlink ref="I299" r:id="rId599" location="cite_note-14" display="https://en.wikipedia.org/wiki/List_of_colleges_and_universities_in_New_Jersey - cite_note-14"/>
    <hyperlink ref="U287" r:id="rId600" display="http://www.montclair.edu/about-montclair/at-a-glance/undergraduate-student-facts/"/>
    <hyperlink ref="A311" r:id="rId601" tooltip="Albright College" display="https://en.wikipedia.org/wiki/Albright_College"/>
    <hyperlink ref="B311" r:id="rId602" tooltip="Reading, Pennsylvania" display="https://en.wikipedia.org/wiki/Reading,_Pennsylvania"/>
    <hyperlink ref="C311" r:id="rId603" tooltip="United Methodist Church" display="https://en.wikipedia.org/wiki/United_Methodist_Church"/>
    <hyperlink ref="A312" r:id="rId604" tooltip="Allegheny College" display="https://en.wikipedia.org/wiki/Allegheny_College"/>
    <hyperlink ref="B312" r:id="rId605" tooltip="Meadville, Pennsylvania" display="https://en.wikipedia.org/wiki/Meadville,_Pennsylvania"/>
    <hyperlink ref="A313" r:id="rId606" tooltip="The American College (Pennsylvania)" display="https://en.wikipedia.org/wiki/The_American_College_%28Pennsylvania%29"/>
    <hyperlink ref="B313" r:id="rId607" tooltip="Haverford Township, Delaware County, Pennsylvania" display="https://en.wikipedia.org/wiki/Haverford_Township,_Delaware_County,_Pennsylvania"/>
    <hyperlink ref="A314" r:id="rId608" tooltip="Bryn Athyn College" display="https://en.wikipedia.org/wiki/Bryn_Athyn_College"/>
    <hyperlink ref="B314" r:id="rId609" tooltip="Bryn Athyn, Pennsylvania" display="https://en.wikipedia.org/wiki/Bryn_Athyn,_Pennsylvania"/>
    <hyperlink ref="C314" r:id="rId610" tooltip="The New Church" display="https://en.wikipedia.org/wiki/The_New_Church"/>
    <hyperlink ref="A315" r:id="rId611" tooltip="Bucknell University" display="https://en.wikipedia.org/wiki/Bucknell_University"/>
    <hyperlink ref="B315" r:id="rId612" tooltip="East Buffalo Township, Union County, Pennsylvania" display="https://en.wikipedia.org/wiki/East_Buffalo_Township,_Union_County,_Pennsylvania"/>
    <hyperlink ref="A316" r:id="rId613" tooltip="Cabrini College" display="https://en.wikipedia.org/wiki/Cabrini_College"/>
    <hyperlink ref="B316" r:id="rId614" tooltip="Radnor Township, Delaware County, Pennsylvania" display="https://en.wikipedia.org/wiki/Radnor_Township,_Delaware_County,_Pennsylvania"/>
    <hyperlink ref="C316" r:id="rId615" tooltip="Roman Catholic Church" display="https://en.wikipedia.org/wiki/Roman_Catholic_Church"/>
    <hyperlink ref="A317" r:id="rId616" tooltip="Cairn University" display="https://en.wikipedia.org/wiki/Cairn_University"/>
    <hyperlink ref="B317" r:id="rId617" tooltip="Langhorne Manor, Pennsylvania" display="https://en.wikipedia.org/wiki/Langhorne_Manor,_Pennsylvania"/>
    <hyperlink ref="C317" r:id="rId618" tooltip="Nondenominational Christian" display="https://en.wikipedia.org/wiki/Nondenominational_Christian"/>
    <hyperlink ref="A318" r:id="rId619" tooltip="Carlow University" display="https://en.wikipedia.org/wiki/Carlow_University"/>
    <hyperlink ref="B318" r:id="rId620" tooltip="Pittsburgh" display="https://en.wikipedia.org/wiki/Pittsburgh"/>
    <hyperlink ref="C318" r:id="rId621" tooltip="Catholic" display="https://en.wikipedia.org/wiki/Catholic"/>
    <hyperlink ref="A319" r:id="rId622" tooltip="Cedar Crest College" display="https://en.wikipedia.org/wiki/Cedar_Crest_College"/>
    <hyperlink ref="B319" r:id="rId623" tooltip="Allentown, Pennsylvania" display="https://en.wikipedia.org/wiki/Allentown,_Pennsylvania"/>
    <hyperlink ref="A320" r:id="rId624" tooltip="Central Penn College" display="https://en.wikipedia.org/wiki/Central_Penn_College"/>
    <hyperlink ref="B320" r:id="rId625" tooltip="Summerdale, Pennsylvania" display="https://en.wikipedia.org/wiki/Summerdale,_Pennsylvania"/>
    <hyperlink ref="C320" r:id="rId626" tooltip="Secular" display="https://en.wikipedia.org/wiki/Secular"/>
    <hyperlink ref="A321" r:id="rId627" tooltip="Chatham University" display="https://en.wikipedia.org/wiki/Chatham_University"/>
    <hyperlink ref="B321" r:id="rId628" tooltip="Pittsburgh" display="https://en.wikipedia.org/wiki/Pittsburgh"/>
    <hyperlink ref="A322" r:id="rId629" tooltip="Delaware Valley University" display="https://en.wikipedia.org/wiki/Delaware_Valley_University"/>
    <hyperlink ref="B322" r:id="rId630" tooltip="Doylestown Township, Bucks County, Pennsylvania" display="https://en.wikipedia.org/wiki/Doylestown_Township,_Bucks_County,_Pennsylvania"/>
    <hyperlink ref="A323" r:id="rId631" tooltip="DeSales University" display="https://en.wikipedia.org/wiki/DeSales_University"/>
    <hyperlink ref="B323" r:id="rId632" tooltip="Upper Saucon Township, Lehigh County, Pennsylvania" display="https://en.wikipedia.org/wiki/Upper_Saucon_Township,_Lehigh_County,_Pennsylvania"/>
    <hyperlink ref="A324" r:id="rId633" tooltip="Dickinson College" display="https://en.wikipedia.org/wiki/Dickinson_College"/>
    <hyperlink ref="B324" r:id="rId634" tooltip="Carlisle, Pennsylvania" display="https://en.wikipedia.org/wiki/Carlisle,_Pennsylvania"/>
    <hyperlink ref="A325" r:id="rId635" tooltip="Elizabethtown College" display="https://en.wikipedia.org/wiki/Elizabethtown_College"/>
    <hyperlink ref="B325" r:id="rId636" tooltip="Elizabethtown, Pennsylvania" display="https://en.wikipedia.org/wiki/Elizabethtown,_Pennsylvania"/>
    <hyperlink ref="C325" r:id="rId637" tooltip="Church of the Brethren" display="https://en.wikipedia.org/wiki/Church_of_the_Brethren"/>
    <hyperlink ref="A326" r:id="rId638" tooltip="Franklin &amp; Marshall College" display="https://en.wikipedia.org/wiki/Franklin_%26_Marshall_College"/>
    <hyperlink ref="B326" r:id="rId639" tooltip="Lancaster, Pennsylvania" display="https://en.wikipedia.org/wiki/Lancaster,_Pennsylvania"/>
    <hyperlink ref="A327" r:id="rId640" tooltip="Geneva College" display="https://en.wikipedia.org/wiki/Geneva_College"/>
    <hyperlink ref="B327" r:id="rId641" tooltip="Beaver Falls, Pennsylvania" display="https://en.wikipedia.org/wiki/Beaver_Falls,_Pennsylvania"/>
    <hyperlink ref="C327" r:id="rId642" tooltip="Reformed Presbyterian Church of North America" display="https://en.wikipedia.org/wiki/Reformed_Presbyterian_Church_of_North_America"/>
    <hyperlink ref="A328" r:id="rId643" tooltip="Gettysburg College" display="https://en.wikipedia.org/wiki/Gettysburg_College"/>
    <hyperlink ref="B328" r:id="rId644" tooltip="Gettysburg, Pennsylvania" display="https://en.wikipedia.org/wiki/Gettysburg,_Pennsylvania"/>
    <hyperlink ref="C328" r:id="rId645" tooltip="Evangelical Lutheran Church in America" display="https://en.wikipedia.org/wiki/Evangelical_Lutheran_Church_in_America"/>
    <hyperlink ref="A329" r:id="rId646" tooltip="Grove City College" display="https://en.wikipedia.org/wiki/Grove_City_College"/>
    <hyperlink ref="B329" r:id="rId647" tooltip="Grove City, Pennsylvania" display="https://en.wikipedia.org/wiki/Grove_City,_Pennsylvania"/>
    <hyperlink ref="C329" r:id="rId648" tooltip="Presbyterian Church of the USA" display="https://en.wikipedia.org/wiki/Presbyterian_Church_of_the_USA"/>
    <hyperlink ref="A330" r:id="rId649" tooltip="Gwynedd Mercy University" display="https://en.wikipedia.org/wiki/Gwynedd_Mercy_University"/>
    <hyperlink ref="B330" r:id="rId650" tooltip="Lower Gwynedd Township, Montgomery County, Pennsylvania" display="https://en.wikipedia.org/wiki/Lower_Gwynedd_Township,_Montgomery_County,_Pennsylvania"/>
    <hyperlink ref="A331" r:id="rId651" tooltip="Harrisburg University of Science and Technology" display="https://en.wikipedia.org/wiki/Harrisburg_University_of_Science_and_Technology"/>
    <hyperlink ref="B331" r:id="rId652" tooltip="Dauphin County, Pennsylvania" display="https://en.wikipedia.org/wiki/Dauphin_County,_Pennsylvania"/>
    <hyperlink ref="A332" r:id="rId653" tooltip="Haverford College" display="https://en.wikipedia.org/wiki/Haverford_College"/>
    <hyperlink ref="B332" r:id="rId654" tooltip="Haverford Township, Delaware County, Pennsylvania" display="https://en.wikipedia.org/wiki/Haverford_Township,_Delaware_County,_Pennsylvania"/>
    <hyperlink ref="A333" r:id="rId655" tooltip="Juniata College" display="https://en.wikipedia.org/wiki/Juniata_College"/>
    <hyperlink ref="B333" r:id="rId656" tooltip="Huntingdon, Pennsylvania" display="https://en.wikipedia.org/wiki/Huntingdon,_Pennsylvania"/>
    <hyperlink ref="A334" r:id="rId657" tooltip="Keystone College" display="https://en.wikipedia.org/wiki/Keystone_College"/>
    <hyperlink ref="B334" r:id="rId658" tooltip="La Plume Township, Lackawanna County, Pennsylvania" display="https://en.wikipedia.org/wiki/La_Plume_Township,_Lackawanna_County,_Pennsylvania"/>
    <hyperlink ref="A335" r:id="rId659" tooltip="King's College (Pennsylvania)" display="https://en.wikipedia.org/wiki/King%27s_College_%28Pennsylvania%29"/>
    <hyperlink ref="B335" r:id="rId660" tooltip="Wilkes-Barre, Pennsylvania" display="https://en.wikipedia.org/wiki/Wilkes-Barre,_Pennsylvania"/>
    <hyperlink ref="A336" r:id="rId661" tooltip="La Roche College" display="https://en.wikipedia.org/wiki/La_Roche_College"/>
    <hyperlink ref="B336" r:id="rId662" tooltip="McCandless Township, Allegheny County, Pennsylvania" display="https://en.wikipedia.org/wiki/McCandless_Township,_Allegheny_County,_Pennsylvania"/>
    <hyperlink ref="A337" r:id="rId663" tooltip="Lafayette College" display="https://en.wikipedia.org/wiki/Lafayette_College"/>
    <hyperlink ref="B337" r:id="rId664" tooltip="Easton, Pennsylvania" display="https://en.wikipedia.org/wiki/Easton,_Pennsylvania"/>
    <hyperlink ref="A338" r:id="rId665" tooltip="Lebanon Valley College" display="https://en.wikipedia.org/wiki/Lebanon_Valley_College"/>
    <hyperlink ref="B338" r:id="rId666" tooltip="Annville, Pennsylvania" display="https://en.wikipedia.org/wiki/Annville,_Pennsylvania"/>
    <hyperlink ref="A339" r:id="rId667" tooltip="Lycoming College" display="https://en.wikipedia.org/wiki/Lycoming_College"/>
    <hyperlink ref="B339" r:id="rId668" tooltip="Williamsport, Pennsylvania" display="https://en.wikipedia.org/wiki/Williamsport,_Pennsylvania"/>
    <hyperlink ref="A340" r:id="rId669" tooltip="Mercyhurst University" display="https://en.wikipedia.org/wiki/Mercyhurst_University"/>
    <hyperlink ref="B340" r:id="rId670" tooltip="Erie Pennsylvania" display="https://en.wikipedia.org/wiki/Erie_Pennsylvania"/>
    <hyperlink ref="A341" r:id="rId671" tooltip="Messiah College" display="https://en.wikipedia.org/wiki/Messiah_College"/>
    <hyperlink ref="B341" r:id="rId672" tooltip="Upper Allen Township, Cumberland County, Pennsylvania" display="https://en.wikipedia.org/wiki/Upper_Allen_Township,_Cumberland_County,_Pennsylvania"/>
    <hyperlink ref="A342" r:id="rId673" tooltip="Moravian College" display="https://en.wikipedia.org/wiki/Moravian_College"/>
    <hyperlink ref="B342" r:id="rId674" tooltip="Bethlehem, Pennsylvania" display="https://en.wikipedia.org/wiki/Bethlehem,_Pennsylvania"/>
    <hyperlink ref="C342" r:id="rId675" tooltip="Moravian Church in America" display="https://en.wikipedia.org/wiki/Moravian_Church_in_America"/>
    <hyperlink ref="A343" r:id="rId676" tooltip="Mount Aloysius College" display="https://en.wikipedia.org/wiki/Mount_Aloysius_College"/>
    <hyperlink ref="B343" r:id="rId677" tooltip="Cresson Township, Cambria County, Pennsylvania" display="https://en.wikipedia.org/wiki/Cresson_Township,_Cambria_County,_Pennsylvania"/>
    <hyperlink ref="A344" r:id="rId678" tooltip="Muhlenberg College" display="https://en.wikipedia.org/wiki/Muhlenberg_College"/>
    <hyperlink ref="B344" r:id="rId679" tooltip="Allentown, Pennsylvania" display="https://en.wikipedia.org/wiki/Allentown,_Pennsylvania"/>
    <hyperlink ref="A345" r:id="rId680" tooltip="Peirce College" display="https://en.wikipedia.org/wiki/Peirce_College"/>
    <hyperlink ref="B345" r:id="rId681" tooltip="Philadelphia" display="https://en.wikipedia.org/wiki/Philadelphia"/>
    <hyperlink ref="A346" r:id="rId682" tooltip="Point Park University" display="https://en.wikipedia.org/wiki/Point_Park_University"/>
    <hyperlink ref="B346" r:id="rId683" tooltip="Pittsburgh" display="https://en.wikipedia.org/wiki/Pittsburgh"/>
    <hyperlink ref="A347" r:id="rId684" tooltip="Rosemont College" display="https://en.wikipedia.org/wiki/Rosemont_College"/>
    <hyperlink ref="B347" r:id="rId685" tooltip="Lower Merion Township, Montgomery County, Pennsylvania" display="https://en.wikipedia.org/wiki/Lower_Merion_Township,_Montgomery_County,_Pennsylvania"/>
    <hyperlink ref="A348" r:id="rId686" tooltip="Saint Vincent College" display="https://en.wikipedia.org/wiki/Saint_Vincent_College"/>
    <hyperlink ref="B348" r:id="rId687" tooltip="Unity Township, Westmoreland County, Pennsylvania" display="https://en.wikipedia.org/wiki/Unity_Township,_Westmoreland_County,_Pennsylvania"/>
    <hyperlink ref="A349" r:id="rId688" tooltip="Seton Hill University" display="https://en.wikipedia.org/wiki/Seton_Hill_University"/>
    <hyperlink ref="B349" r:id="rId689" tooltip="Greensburg, Pennsylvania" display="https://en.wikipedia.org/wiki/Greensburg,_Pennsylvania"/>
    <hyperlink ref="A350" r:id="rId690" tooltip="Susquehanna University" display="https://en.wikipedia.org/wiki/Susquehanna_University"/>
    <hyperlink ref="B350" r:id="rId691" tooltip="Selinsgrove, Pennsylvania" display="https://en.wikipedia.org/wiki/Selinsgrove,_Pennsylvania"/>
    <hyperlink ref="A351" r:id="rId692" tooltip="Swarthmore College" display="https://en.wikipedia.org/wiki/Swarthmore_College"/>
    <hyperlink ref="B351" r:id="rId693" tooltip="Swarthmore, Pennsylvania" display="https://en.wikipedia.org/wiki/Swarthmore,_Pennsylvania"/>
    <hyperlink ref="A352" r:id="rId694" tooltip="Thiel College" display="https://en.wikipedia.org/wiki/Thiel_College"/>
    <hyperlink ref="B352" r:id="rId695" tooltip="Greenville, Pennsylvania" display="https://en.wikipedia.org/wiki/Greenville,_Pennsylvania"/>
    <hyperlink ref="A353" r:id="rId696" tooltip="Ursinus College" display="https://en.wikipedia.org/wiki/Ursinus_College"/>
    <hyperlink ref="B353" r:id="rId697" tooltip="Collegeville, Pennsylvania" display="https://en.wikipedia.org/wiki/Collegeville,_Pennsylvania"/>
    <hyperlink ref="A354" r:id="rId698" tooltip="Washington &amp; Jefferson College" display="https://en.wikipedia.org/wiki/Washington_%26_Jefferson_College"/>
    <hyperlink ref="B354" r:id="rId699" tooltip="Washington, Pennsylvania" display="https://en.wikipedia.org/wiki/Washington,_Pennsylvania"/>
    <hyperlink ref="A355" r:id="rId700" tooltip="Westminster College (Pennsylvania)" display="https://en.wikipedia.org/wiki/Westminster_College_%28Pennsylvania%29"/>
    <hyperlink ref="B355" r:id="rId701" tooltip="New Wilmington, Pennsylvania" display="https://en.wikipedia.org/wiki/New_Wilmington,_Pennsylvania"/>
    <hyperlink ref="A356" r:id="rId702" tooltip="Wilson College (Pennsylvania)" display="https://en.wikipedia.org/wiki/Wilson_College_%28Pennsylvania%29"/>
    <hyperlink ref="B356" r:id="rId703" tooltip="Chambersburg, Pennsylvania" display="https://en.wikipedia.org/wiki/Chambersburg,_Pennsylvania"/>
    <hyperlink ref="A357" r:id="rId704" tooltip="Wilkes University" display="https://en.wikipedia.org/wiki/Wilkes_University"/>
    <hyperlink ref="A358" r:id="rId705" tooltip="York College of Pennsylvania" display="https://en.wikipedia.org/wiki/York_College_of_Pennsylvania"/>
    <hyperlink ref="B358" r:id="rId706" tooltip="Spring Garden Township, York County, Pennsylvania" display="https://en.wikipedia.org/wiki/Spring_Garden_Township,_York_County,_Pennsylvania"/>
    <hyperlink ref="A364" r:id="rId707" tooltip="Drexel University" display="https://en.wikipedia.org/wiki/Drexel_University"/>
    <hyperlink ref="B364" r:id="rId708" tooltip="Philadelphia" display="https://en.wikipedia.org/wiki/Philadelphia"/>
    <hyperlink ref="A365" r:id="rId709" tooltip="Duquesne University" display="https://en.wikipedia.org/wiki/Duquesne_University"/>
    <hyperlink ref="B365" r:id="rId710" tooltip="Pittsburgh" display="https://en.wikipedia.org/wiki/Pittsburgh"/>
    <hyperlink ref="C365" r:id="rId711" tooltip="Roman Catholic Church" display="https://en.wikipedia.org/wiki/Roman_Catholic_Church"/>
    <hyperlink ref="A366" r:id="rId712" tooltip="Eastern University (United States)" display="https://en.wikipedia.org/wiki/Eastern_University_%28United_States%29"/>
    <hyperlink ref="B366" r:id="rId713" tooltip="Radnor Township, Delaware County, Pennsylvania" display="https://en.wikipedia.org/wiki/Radnor_Township,_Delaware_County,_Pennsylvania"/>
    <hyperlink ref="C366" r:id="rId714" tooltip="American Baptist Churches USA" display="https://en.wikipedia.org/wiki/American_Baptist_Churches_USA"/>
    <hyperlink ref="A367" r:id="rId715" tooltip="Gannon University" display="https://en.wikipedia.org/wiki/Gannon_University"/>
    <hyperlink ref="B367" r:id="rId716" tooltip="Erie, Pennsylvania" display="https://en.wikipedia.org/wiki/Erie,_Pennsylvania"/>
    <hyperlink ref="A368" r:id="rId717" tooltip="Holy Family University" display="https://en.wikipedia.org/wiki/Holy_Family_University"/>
    <hyperlink ref="B368" r:id="rId718" tooltip="Philadelphia" display="https://en.wikipedia.org/wiki/Philadelphia"/>
    <hyperlink ref="A369" r:id="rId719" tooltip="Immaculata University" display="https://en.wikipedia.org/wiki/Immaculata_University"/>
    <hyperlink ref="B369" r:id="rId720" tooltip="East Whiteland Township, Chester County, Pennsylvania" display="https://en.wikipedia.org/wiki/East_Whiteland_Township,_Chester_County,_Pennsylvania"/>
    <hyperlink ref="A370" r:id="rId721" tooltip="La Salle University" display="https://en.wikipedia.org/wiki/La_Salle_University"/>
    <hyperlink ref="B370" r:id="rId722" tooltip="Philadelphia" display="https://en.wikipedia.org/wiki/Philadelphia"/>
    <hyperlink ref="A371" r:id="rId723" tooltip="Lehigh University" display="https://en.wikipedia.org/wiki/Lehigh_University"/>
    <hyperlink ref="B371" r:id="rId724" tooltip="Bethlehem, Pennsylvania" display="https://en.wikipedia.org/wiki/Bethlehem,_Pennsylvania"/>
    <hyperlink ref="A372" r:id="rId725" tooltip="Marywood University" display="https://en.wikipedia.org/wiki/Marywood_University"/>
    <hyperlink ref="B372" r:id="rId726" tooltip="Dunmore, Pennsylvania" display="https://en.wikipedia.org/wiki/Dunmore,_Pennsylvania"/>
    <hyperlink ref="A373" r:id="rId727" tooltip="Misericordia University" display="https://en.wikipedia.org/wiki/Misericordia_University"/>
    <hyperlink ref="B373" r:id="rId728" tooltip="Dallas Township, Luzerne County, Pennsylvania" display="https://en.wikipedia.org/wiki/Dallas_Township,_Luzerne_County,_Pennsylvania"/>
    <hyperlink ref="A374" r:id="rId729" tooltip="Neumann University" display="https://en.wikipedia.org/wiki/Neumann_University"/>
    <hyperlink ref="B374" r:id="rId730" tooltip="Aston Township, Delaware County, Pennsylvania" display="https://en.wikipedia.org/wiki/Aston_Township,_Delaware_County,_Pennsylvania"/>
    <hyperlink ref="A375" r:id="rId731" tooltip="University of Pennsylvania" display="https://en.wikipedia.org/wiki/University_of_Pennsylvania"/>
    <hyperlink ref="B375" r:id="rId732" tooltip="Philadelphia" display="https://en.wikipedia.org/wiki/Philadelphia"/>
    <hyperlink ref="A376" r:id="rId733" tooltip="Philadelphia University" display="https://en.wikipedia.org/wiki/Philadelphia_University"/>
    <hyperlink ref="B376" r:id="rId734" tooltip="Philadelphia" display="https://en.wikipedia.org/wiki/Philadelphia"/>
    <hyperlink ref="A377" r:id="rId735" tooltip="Robert Morris University" display="https://en.wikipedia.org/wiki/Robert_Morris_University"/>
    <hyperlink ref="B377" r:id="rId736" tooltip="Moon Township, Allegheny County, Pennsylvania" display="https://en.wikipedia.org/wiki/Moon_Township,_Allegheny_County,_Pennsylvania"/>
    <hyperlink ref="A378" r:id="rId737" tooltip="Saint Francis University" display="https://en.wikipedia.org/wiki/Saint_Francis_University"/>
    <hyperlink ref="B378" r:id="rId738" tooltip="Loretto, Pennsylvania" display="https://en.wikipedia.org/wiki/Loretto,_Pennsylvania"/>
    <hyperlink ref="A379" r:id="rId739" tooltip="Saint Joseph’s University" display="https://en.wikipedia.org/wiki/Saint_Joseph%E2%80%99s_University"/>
    <hyperlink ref="A380" r:id="rId740" tooltip="University of Scranton" display="https://en.wikipedia.org/wiki/University_of_Scranton"/>
    <hyperlink ref="B380" r:id="rId741" tooltip="Scranton, Pennsylvania" display="https://en.wikipedia.org/wiki/Scranton,_Pennsylvania"/>
    <hyperlink ref="A381" r:id="rId742" tooltip="University of the Sciences" display="https://en.wikipedia.org/wiki/University_of_the_Sciences"/>
    <hyperlink ref="B381" r:id="rId743" tooltip="Philadelphia" display="https://en.wikipedia.org/wiki/Philadelphia"/>
    <hyperlink ref="A382" r:id="rId744" tooltip="Thomas Jefferson University" display="https://en.wikipedia.org/wiki/Thomas_Jefferson_University"/>
    <hyperlink ref="B382" r:id="rId745" tooltip="Philadelphia" display="https://en.wikipedia.org/wiki/Philadelphia"/>
    <hyperlink ref="A383" r:id="rId746" tooltip="Villanova University" display="https://en.wikipedia.org/wiki/Villanova_University"/>
    <hyperlink ref="B383" r:id="rId747" tooltip="Radnor Township, Delaware County, Pennsylvania" display="https://en.wikipedia.org/wiki/Radnor_Township,_Delaware_County,_Pennsylvania"/>
    <hyperlink ref="A384" r:id="rId748" tooltip="Waynesburg University" display="https://en.wikipedia.org/wiki/Waynesburg_University"/>
    <hyperlink ref="B384" r:id="rId749" tooltip="Waynesburg, Pennsylvania" display="https://en.wikipedia.org/wiki/Waynesburg,_Pennsylvania"/>
    <hyperlink ref="A385" r:id="rId750" tooltip="Widener University" display="https://en.wikipedia.org/wiki/Widener_University"/>
    <hyperlink ref="B385" r:id="rId751" tooltip="Chester, Pennsylvania" display="https://en.wikipedia.org/wiki/Chester,_Pennsylvania"/>
    <hyperlink ref="A386" r:id="rId752" tooltip="Bloomsburg University of Pennsylvania" display="https://en.wikipedia.org/wiki/Bloomsburg_University_of_Pennsylvania"/>
    <hyperlink ref="A387" r:id="rId753" tooltip="California University of Pennsylvania" display="https://en.wikipedia.org/wiki/California_University_of_Pennsylvania"/>
    <hyperlink ref="A388" r:id="rId754" tooltip="Cheyney University of Pennsylvania" display="https://en.wikipedia.org/wiki/Cheyney_University_of_Pennsylvania"/>
    <hyperlink ref="A389" r:id="rId755" tooltip="Clarion University of Pennsylvania" display="https://en.wikipedia.org/wiki/Clarion_University_of_Pennsylvania"/>
    <hyperlink ref="A390" r:id="rId756" tooltip="East Stroudsburg University of Pennsylvania" display="https://en.wikipedia.org/wiki/East_Stroudsburg_University_of_Pennsylvania"/>
    <hyperlink ref="A391" r:id="rId757" tooltip="Edinboro University of Pennsylvania" display="https://en.wikipedia.org/wiki/Edinboro_University_of_Pennsylvania"/>
    <hyperlink ref="A392" r:id="rId758" tooltip="Indiana University of Pennsylvania" display="https://en.wikipedia.org/wiki/Indiana_University_of_Pennsylvania"/>
    <hyperlink ref="A393" r:id="rId759" tooltip="Kutztown University of Pennsylvania" display="https://en.wikipedia.org/wiki/Kutztown_University_of_Pennsylvania"/>
    <hyperlink ref="A394" r:id="rId760" tooltip="Lock Haven University of Pennsylvania" display="https://en.wikipedia.org/wiki/Lock_Haven_University_of_Pennsylvania"/>
    <hyperlink ref="A395" r:id="rId761" tooltip="Mansfield University of Pennsylvania" display="https://en.wikipedia.org/wiki/Mansfield_University_of_Pennsylvania"/>
    <hyperlink ref="A396" r:id="rId762" tooltip="Millersville University of Pennsylvania" display="https://en.wikipedia.org/wiki/Millersville_University_of_Pennsylvania"/>
    <hyperlink ref="A397" r:id="rId763" tooltip="Shippensburg University of Pennsylvania" display="https://en.wikipedia.org/wiki/Shippensburg_University_of_Pennsylvania"/>
    <hyperlink ref="A398" r:id="rId764" tooltip="Slippery Rock University of Pennsylvania" display="https://en.wikipedia.org/wiki/Slippery_Rock_University_of_Pennsylvania"/>
    <hyperlink ref="A399" r:id="rId765" tooltip="West Chester University of Pennsylvania" display="https://en.wikipedia.org/wiki/West_Chester_University_of_Pennsylvania"/>
    <hyperlink ref="A400" r:id="rId766" tooltip="Pennsylvania State University" display="https://en.wikipedia.org/wiki/Pennsylvania_State_University"/>
    <hyperlink ref="B400" r:id="rId767" tooltip="State College, Pennsylvania" display="https://en.wikipedia.org/wiki/State_College,_Pennsylvania"/>
    <hyperlink ref="A401" r:id="rId768" tooltip="University of Pittsburgh" display="https://en.wikipedia.org/wiki/University_of_Pittsburgh"/>
    <hyperlink ref="B401" r:id="rId769" tooltip="Pittsburgh" display="https://en.wikipedia.org/wiki/Pittsburgh"/>
    <hyperlink ref="A402" r:id="rId770" tooltip="Temple University" display="https://en.wikipedia.org/wiki/Temple_University"/>
    <hyperlink ref="B402" r:id="rId771" tooltip="Philadelphia" display="https://en.wikipedia.org/wiki/Philadelphia"/>
    <hyperlink ref="A359" r:id="rId772" tooltip="Alvernia University" display="https://en.wikipedia.org/wiki/Alvernia_University"/>
    <hyperlink ref="B359" r:id="rId773" tooltip="Reading, Pennsylvania" display="https://en.wikipedia.org/wiki/Reading,_Pennsylvania"/>
    <hyperlink ref="C359" r:id="rId774" tooltip="Roman Catholic Church" display="https://en.wikipedia.org/wiki/Roman_Catholic_Church"/>
    <hyperlink ref="A360" r:id="rId775" tooltip="Arcadia University" display="https://en.wikipedia.org/wiki/Arcadia_University"/>
    <hyperlink ref="B360" r:id="rId776" tooltip="Cheltenham Township, Montgomery County, Pennsylvania" display="https://en.wikipedia.org/wiki/Cheltenham_Township,_Montgomery_County,_Pennsylvania"/>
    <hyperlink ref="A361" r:id="rId777" tooltip="Bryn Mawr College" display="https://en.wikipedia.org/wiki/Bryn_Mawr_College"/>
    <hyperlink ref="B361" r:id="rId778" tooltip="Lower Merion Township, Montgomery County, Pennsylvania" display="https://en.wikipedia.org/wiki/Lower_Merion_Township,_Montgomery_County,_Pennsylvania"/>
    <hyperlink ref="A362" r:id="rId779" tooltip="Carnegie Mellon University" display="https://en.wikipedia.org/wiki/Carnegie_Mellon_University"/>
    <hyperlink ref="B362" r:id="rId780" tooltip="Pittsburgh" display="https://en.wikipedia.org/wiki/Pittsburgh"/>
    <hyperlink ref="A363" r:id="rId781" tooltip="Chestnut Hill College" display="https://en.wikipedia.org/wiki/Chestnut_Hill_College"/>
    <hyperlink ref="B363" r:id="rId782" tooltip="Philadelphia" display="https://en.wikipedia.org/wiki/Philadelphia"/>
    <hyperlink ref="A413" r:id="rId783" tooltip="University of Delaware" display="https://en.wikipedia.org/wiki/University_of_Delaware"/>
    <hyperlink ref="B413" r:id="rId784" tooltip="Newark, Delaware" display="https://en.wikipedia.org/wiki/Newark,_Delaware"/>
    <hyperlink ref="A412" r:id="rId785" tooltip="Delaware State University" display="https://en.wikipedia.org/wiki/Delaware_State_University"/>
    <hyperlink ref="B412" r:id="rId786" tooltip="Dover, Delaware" display="https://en.wikipedia.org/wiki/Dover,_Delaware"/>
    <hyperlink ref="A416" r:id="rId787" tooltip="Bowie State University" display="https://en.wikipedia.org/wiki/Bowie_State_University"/>
    <hyperlink ref="B416" r:id="rId788" tooltip="Bowie, Maryland" display="https://en.wikipedia.org/wiki/Bowie,_Maryland"/>
    <hyperlink ref="A417" r:id="rId789" tooltip="Coppin State University" display="https://en.wikipedia.org/wiki/Coppin_State_University"/>
    <hyperlink ref="B417" r:id="rId790" tooltip="Baltimore, Maryland" display="https://en.wikipedia.org/wiki/Baltimore,_Maryland"/>
    <hyperlink ref="A418" r:id="rId791" tooltip="Frostburg State University" display="https://en.wikipedia.org/wiki/Frostburg_State_University"/>
    <hyperlink ref="B418" r:id="rId792" tooltip="Frostburg, Maryland" display="https://en.wikipedia.org/wiki/Frostburg,_Maryland"/>
    <hyperlink ref="A419" r:id="rId793" tooltip="Morgan State University" display="https://en.wikipedia.org/wiki/Morgan_State_University"/>
    <hyperlink ref="B419" r:id="rId794" tooltip="Baltimore, Maryland" display="https://en.wikipedia.org/wiki/Baltimore,_Maryland"/>
    <hyperlink ref="A420" r:id="rId795" tooltip="Salisbury University" display="https://en.wikipedia.org/wiki/Salisbury_University"/>
    <hyperlink ref="B420" r:id="rId796" tooltip="Salisbury, Maryland" display="https://en.wikipedia.org/wiki/Salisbury,_Maryland"/>
    <hyperlink ref="A421" r:id="rId797" tooltip="St. Mary's College of Maryland" display="https://en.wikipedia.org/wiki/St._Mary%27s_College_of_Maryland"/>
    <hyperlink ref="B421" r:id="rId798" tooltip="St. Mary's City, Maryland" display="https://en.wikipedia.org/wiki/St._Mary%27s_City,_Maryland"/>
    <hyperlink ref="A422" r:id="rId799" tooltip="Towson University" display="https://en.wikipedia.org/wiki/Towson_University"/>
    <hyperlink ref="B422" r:id="rId800" tooltip="Towson, Maryland" display="https://en.wikipedia.org/wiki/Towson,_Maryland"/>
    <hyperlink ref="A423" r:id="rId801" tooltip="United States Naval Academy" display="https://en.wikipedia.org/wiki/United_States_Naval_Academy"/>
    <hyperlink ref="B423" r:id="rId802" tooltip="Annapolis, Maryland" display="https://en.wikipedia.org/wiki/Annapolis,_Maryland"/>
    <hyperlink ref="A424" r:id="rId803" tooltip="University of Baltimore" display="https://en.wikipedia.org/wiki/University_of_Baltimore"/>
    <hyperlink ref="B424" r:id="rId804" tooltip="Baltimore, Maryland" display="https://en.wikipedia.org/wiki/Baltimore,_Maryland"/>
    <hyperlink ref="A425" r:id="rId805" tooltip="University of Maryland, Baltimore" display="https://en.wikipedia.org/wiki/University_of_Maryland,_Baltimore"/>
    <hyperlink ref="B425" r:id="rId806" tooltip="Baltimore, Maryland" display="https://en.wikipedia.org/wiki/Baltimore,_Maryland"/>
    <hyperlink ref="A426" r:id="rId807" tooltip="University of Maryland, Baltimore County" display="https://en.wikipedia.org/wiki/University_of_Maryland,_Baltimore_County"/>
    <hyperlink ref="A427" r:id="rId808" tooltip="University of Maryland, College Park" display="https://en.wikipedia.org/wiki/University_of_Maryland,_College_Park"/>
    <hyperlink ref="B427" r:id="rId809" tooltip="College Park, Maryland" display="https://en.wikipedia.org/wiki/College_Park,_Maryland"/>
    <hyperlink ref="A428" r:id="rId810" tooltip="University of Maryland Eastern Shore" display="https://en.wikipedia.org/wiki/University_of_Maryland_Eastern_Shore"/>
    <hyperlink ref="B428" r:id="rId811" tooltip="Princess Anne, Maryland" display="https://en.wikipedia.org/wiki/Princess_Anne,_Maryland"/>
    <hyperlink ref="A429" r:id="rId812" tooltip="University of Maryland University College" display="https://en.wikipedia.org/wiki/University_of_Maryland_University_College"/>
    <hyperlink ref="B429" r:id="rId813" tooltip="Adelphi, Maryland" display="https://en.wikipedia.org/wiki/Adelphi,_Maryland"/>
    <hyperlink ref="A435" r:id="rId814" tooltip="Capitol Technology University" display="https://en.wikipedia.org/wiki/Capitol_Technology_University"/>
    <hyperlink ref="B435" r:id="rId815" tooltip="Laurel, Maryland" display="https://en.wikipedia.org/wiki/Laurel,_Maryland"/>
    <hyperlink ref="A436" r:id="rId816" tooltip="Goucher College" display="https://en.wikipedia.org/wiki/Goucher_College"/>
    <hyperlink ref="B436" r:id="rId817" tooltip="Towson, Maryland" display="https://en.wikipedia.org/wiki/Towson,_Maryland"/>
    <hyperlink ref="A437" r:id="rId818" tooltip="Hood College" display="https://en.wikipedia.org/wiki/Hood_College"/>
    <hyperlink ref="B437" r:id="rId819" tooltip="Frederick, Maryland" display="https://en.wikipedia.org/wiki/Frederick,_Maryland"/>
    <hyperlink ref="A438" r:id="rId820" tooltip="Johns Hopkins University" display="https://en.wikipedia.org/wiki/Johns_Hopkins_University"/>
    <hyperlink ref="B438" r:id="rId821" tooltip="Baltimore, Maryland" display="https://en.wikipedia.org/wiki/Baltimore,_Maryland"/>
    <hyperlink ref="A439" r:id="rId822" tooltip="Loyola University Maryland" display="https://en.wikipedia.org/wiki/Loyola_University_Maryland"/>
    <hyperlink ref="B439" r:id="rId823" tooltip="Baltimore, Maryland" display="https://en.wikipedia.org/wiki/Baltimore,_Maryland"/>
    <hyperlink ref="A440" r:id="rId824" tooltip="Maryland Institute College of Art" display="https://en.wikipedia.org/wiki/Maryland_Institute_College_of_Art"/>
    <hyperlink ref="B440" r:id="rId825" tooltip="Baltimore, Maryland" display="https://en.wikipedia.org/wiki/Baltimore,_Maryland"/>
    <hyperlink ref="A441" r:id="rId826" tooltip="Maryland University of Integrative Health" display="https://en.wikipedia.org/wiki/Maryland_University_of_Integrative_Health"/>
    <hyperlink ref="B441" r:id="rId827" tooltip="Laurel, Maryland" display="https://en.wikipedia.org/wiki/Laurel,_Maryland"/>
    <hyperlink ref="A442" r:id="rId828" tooltip="McDaniel College" display="https://en.wikipedia.org/wiki/McDaniel_College"/>
    <hyperlink ref="B442" r:id="rId829" tooltip="Westminster, Maryland" display="https://en.wikipedia.org/wiki/Westminster,_Maryland"/>
    <hyperlink ref="A443" r:id="rId830" tooltip="Mount St. Mary's University" display="https://en.wikipedia.org/wiki/Mount_St._Mary%27s_University"/>
    <hyperlink ref="B443" r:id="rId831" tooltip="Emmitsburg, Maryland" display="https://en.wikipedia.org/wiki/Emmitsburg,_Maryland"/>
    <hyperlink ref="A444" r:id="rId832" tooltip="Notre Dame of Maryland University" display="https://en.wikipedia.org/wiki/Notre_Dame_of_Maryland_University"/>
    <hyperlink ref="B444" r:id="rId833" tooltip="Baltimore, Maryland" display="https://en.wikipedia.org/wiki/Baltimore,_Maryland"/>
    <hyperlink ref="A445" r:id="rId834" tooltip="St. John's College (Annapolis/Santa Fe)" display="https://en.wikipedia.org/wiki/St._John%27s_College_%28Annapolis/Santa_Fe%29"/>
    <hyperlink ref="B445" r:id="rId835" tooltip="Annapolis, Maryland" display="https://en.wikipedia.org/wiki/Annapolis,_Maryland"/>
    <hyperlink ref="A446" r:id="rId836" tooltip="Villa Julie College" display="https://en.wikipedia.org/wiki/Villa_Julie_College"/>
    <hyperlink ref="B446" r:id="rId837" tooltip="Stevenson, Maryland" display="https://en.wikipedia.org/wiki/Stevenson,_Maryland"/>
    <hyperlink ref="A447" r:id="rId838" tooltip="Washington Adventist University" display="https://en.wikipedia.org/wiki/Washington_Adventist_University"/>
    <hyperlink ref="B447" r:id="rId839" tooltip="Takoma Park, Maryland" display="https://en.wikipedia.org/wiki/Takoma_Park,_Maryland"/>
    <hyperlink ref="A448" r:id="rId840" tooltip="Washington College" display="https://en.wikipedia.org/wiki/Washington_College"/>
    <hyperlink ref="B448" r:id="rId841" tooltip="Chestertown, Maryland" display="https://en.wikipedia.org/wiki/Chestertown,_Maryland"/>
    <hyperlink ref="A456" r:id="rId842" tooltip="American University" display="https://en.wikipedia.org/wiki/American_University"/>
    <hyperlink ref="C456" r:id="rId843" tooltip="Doctoral university" display="https://en.wikipedia.org/wiki/Doctoral_university"/>
    <hyperlink ref="A457" r:id="rId844" tooltip="Catholic University of America" display="https://en.wikipedia.org/wiki/Catholic_University_of_America"/>
    <hyperlink ref="C457" r:id="rId845" tooltip="Doctoral university" display="https://en.wikipedia.org/wiki/Doctoral_university"/>
    <hyperlink ref="A458" r:id="rId846" tooltip="George Washington University" display="https://en.wikipedia.org/wiki/George_Washington_University"/>
    <hyperlink ref="C458" r:id="rId847" tooltip="Doctoral university" display="https://en.wikipedia.org/wiki/Doctoral_university"/>
    <hyperlink ref="A459" r:id="rId848" tooltip="Georgetown University" display="https://en.wikipedia.org/wiki/Georgetown_University"/>
    <hyperlink ref="C459" r:id="rId849" tooltip="Doctoral university" display="https://en.wikipedia.org/wiki/Doctoral_university"/>
    <hyperlink ref="A460" r:id="rId850" tooltip="Howard University" display="https://en.wikipedia.org/wiki/Howard_University"/>
    <hyperlink ref="C460" r:id="rId851" tooltip="Doctoral university" display="https://en.wikipedia.org/wiki/Doctoral_university"/>
    <hyperlink ref="A461" r:id="rId852" tooltip="Trinity Washington University" display="https://en.wikipedia.org/wiki/Trinity_Washington_University"/>
    <hyperlink ref="C461" r:id="rId853" tooltip="Masters university" display="https://en.wikipedia.org/wiki/Masters_university"/>
    <hyperlink ref="A462" r:id="rId854" tooltip="University of the District of Columbia" display="https://en.wikipedia.org/wiki/University_of_the_District_of_Columbia"/>
    <hyperlink ref="C462" r:id="rId855" tooltip="Masters university" display="https://en.wikipedia.org/wiki/Masters_university"/>
    <hyperlink ref="X3" r:id="rId856"/>
    <hyperlink ref="X69" r:id="rId857"/>
    <hyperlink ref="X70" r:id="rId858"/>
    <hyperlink ref="X71" r:id="rId859"/>
    <hyperlink ref="X73" r:id="rId860"/>
    <hyperlink ref="X78" r:id="rId861"/>
    <hyperlink ref="X79" r:id="rId862"/>
    <hyperlink ref="X80" r:id="rId863"/>
    <hyperlink ref="S80" r:id="rId864"/>
    <hyperlink ref="X81" r:id="rId865"/>
    <hyperlink ref="X83" r:id="rId866"/>
    <hyperlink ref="X84" r:id="rId867"/>
    <hyperlink ref="X86" r:id="rId868"/>
    <hyperlink ref="X93" r:id="rId869"/>
    <hyperlink ref="X95" r:id="rId870"/>
    <hyperlink ref="X96" r:id="rId871"/>
    <hyperlink ref="X97" r:id="rId872"/>
    <hyperlink ref="X98" r:id="rId873"/>
    <hyperlink ref="S189" r:id="rId874"/>
    <hyperlink ref="S248" r:id="rId875"/>
    <hyperlink ref="A218" r:id="rId876" tooltip="Polytechnic Institute of New York University" display="http://en.wikipedia.org/wiki/Polytechnic_Institute_of_New_York_University"/>
    <hyperlink ref="S285" r:id="rId877"/>
    <hyperlink ref="S310" r:id="rId878"/>
    <hyperlink ref="S336" r:id="rId879"/>
    <hyperlink ref="S390" r:id="rId880"/>
    <hyperlink ref="S402" r:id="rId881"/>
    <hyperlink ref="S401" r:id="rId882"/>
    <hyperlink ref="R107" r:id="rId883" display="http://www2.mcdaniel.edu/Bus_Econ/clayco/4daymcd/ivy/FourDayWeeksintheIvyLeague.pdf"/>
    <hyperlink ref="R82" r:id="rId884"/>
    <hyperlink ref="R87" r:id="rId885"/>
    <hyperlink ref="Q107" r:id="rId886" display="http://www2.mcdaniel.edu/Bus_Econ/clayco/4daymcd/ivy/FourDayWeeksintheIvyLeague.pdf"/>
    <hyperlink ref="P107" r:id="rId887" display="http://www2.mcdaniel.edu/Bus_Econ/clayco/4daymcd/ivy/FourDayWeeksintheIvyLeague.pdf"/>
    <hyperlink ref="O107" r:id="rId888" display="http://www2.mcdaniel.edu/Bus_Econ/clayco/4daymcd/ivy/FourDayWeeksintheIvyLeagu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KarenDick</dc:creator>
  <cp:lastModifiedBy>rclaycom</cp:lastModifiedBy>
  <dcterms:created xsi:type="dcterms:W3CDTF">2016-04-16T12:24:21Z</dcterms:created>
  <dcterms:modified xsi:type="dcterms:W3CDTF">2016-09-22T12:53:19Z</dcterms:modified>
</cp:coreProperties>
</file>